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120" windowHeight="817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Q33" i="1"/>
  <c r="Q91"/>
  <c r="E38"/>
  <c r="E39" s="1"/>
  <c r="E95"/>
  <c r="E96" s="1"/>
  <c r="Q149"/>
  <c r="F153"/>
  <c r="F95"/>
  <c r="F96" s="1"/>
  <c r="F67"/>
  <c r="F38"/>
  <c r="F39" s="1"/>
  <c r="G92"/>
  <c r="G95"/>
  <c r="H95"/>
  <c r="I92"/>
  <c r="J95"/>
  <c r="K92"/>
  <c r="K95" s="1"/>
  <c r="L95"/>
  <c r="M92"/>
  <c r="M95" s="1"/>
  <c r="M96" s="1"/>
  <c r="N95"/>
  <c r="P95"/>
  <c r="R95"/>
  <c r="S92"/>
  <c r="S95"/>
  <c r="T95"/>
  <c r="F86"/>
  <c r="F74"/>
  <c r="F59"/>
  <c r="F47"/>
  <c r="F28"/>
  <c r="T137"/>
  <c r="R137"/>
  <c r="P137"/>
  <c r="N137"/>
  <c r="L137"/>
  <c r="J137"/>
  <c r="J143" s="1"/>
  <c r="H137"/>
  <c r="F143"/>
  <c r="E143"/>
  <c r="E153"/>
  <c r="E154" s="1"/>
  <c r="E67"/>
  <c r="F147"/>
  <c r="F154" s="1"/>
  <c r="G120"/>
  <c r="G123" s="1"/>
  <c r="H123"/>
  <c r="I120"/>
  <c r="I123" s="1"/>
  <c r="I124" s="1"/>
  <c r="I121"/>
  <c r="J123"/>
  <c r="K120"/>
  <c r="K123" s="1"/>
  <c r="K124" s="1"/>
  <c r="L123"/>
  <c r="M120"/>
  <c r="M123"/>
  <c r="M124" s="1"/>
  <c r="N123"/>
  <c r="O121"/>
  <c r="O123"/>
  <c r="P123"/>
  <c r="P124" s="1"/>
  <c r="Q121"/>
  <c r="Q123" s="1"/>
  <c r="R120"/>
  <c r="R123"/>
  <c r="R124" s="1"/>
  <c r="S120"/>
  <c r="S123" s="1"/>
  <c r="S124" s="1"/>
  <c r="T123"/>
  <c r="F123"/>
  <c r="F124" s="1"/>
  <c r="E114"/>
  <c r="E123"/>
  <c r="E117"/>
  <c r="E124" s="1"/>
  <c r="E105"/>
  <c r="E102"/>
  <c r="F114"/>
  <c r="F117"/>
  <c r="F105"/>
  <c r="F102"/>
  <c r="G110"/>
  <c r="G114" s="1"/>
  <c r="G117"/>
  <c r="G105"/>
  <c r="G102"/>
  <c r="H111"/>
  <c r="H114"/>
  <c r="H117"/>
  <c r="H124" s="1"/>
  <c r="H105"/>
  <c r="H102"/>
  <c r="I110"/>
  <c r="I114" s="1"/>
  <c r="I117"/>
  <c r="I104"/>
  <c r="I105"/>
  <c r="I102"/>
  <c r="J111"/>
  <c r="J114" s="1"/>
  <c r="J124" s="1"/>
  <c r="J113"/>
  <c r="J117"/>
  <c r="J105"/>
  <c r="J102"/>
  <c r="K110"/>
  <c r="K114"/>
  <c r="K117"/>
  <c r="K105"/>
  <c r="K102"/>
  <c r="L111"/>
  <c r="L114" s="1"/>
  <c r="L124" s="1"/>
  <c r="L117"/>
  <c r="L105"/>
  <c r="L102"/>
  <c r="M110"/>
  <c r="M114"/>
  <c r="M117"/>
  <c r="M105"/>
  <c r="M102"/>
  <c r="N111"/>
  <c r="N114" s="1"/>
  <c r="N124" s="1"/>
  <c r="N117"/>
  <c r="N105"/>
  <c r="N102"/>
  <c r="O107"/>
  <c r="O114"/>
  <c r="O117"/>
  <c r="O104"/>
  <c r="O105" s="1"/>
  <c r="O101"/>
  <c r="O102"/>
  <c r="P110"/>
  <c r="P111"/>
  <c r="P114"/>
  <c r="P117"/>
  <c r="P105"/>
  <c r="P100"/>
  <c r="P102"/>
  <c r="Q107"/>
  <c r="Q114"/>
  <c r="Q117"/>
  <c r="Q104"/>
  <c r="Q105" s="1"/>
  <c r="Q101"/>
  <c r="Q102"/>
  <c r="R110"/>
  <c r="R111"/>
  <c r="R114"/>
  <c r="R117"/>
  <c r="R105"/>
  <c r="R100"/>
  <c r="R102"/>
  <c r="S114"/>
  <c r="S117"/>
  <c r="S105"/>
  <c r="S102"/>
  <c r="T110"/>
  <c r="T114" s="1"/>
  <c r="T111"/>
  <c r="T113"/>
  <c r="T117"/>
  <c r="T105"/>
  <c r="T99"/>
  <c r="T102" s="1"/>
  <c r="E89"/>
  <c r="E86"/>
  <c r="E77"/>
  <c r="E74"/>
  <c r="E59"/>
  <c r="E62"/>
  <c r="E68" s="1"/>
  <c r="E50"/>
  <c r="E47"/>
  <c r="E147"/>
  <c r="E134"/>
  <c r="E131"/>
  <c r="E31"/>
  <c r="E28"/>
  <c r="E20"/>
  <c r="E17"/>
  <c r="F89"/>
  <c r="F77"/>
  <c r="H89"/>
  <c r="H96" s="1"/>
  <c r="H82"/>
  <c r="H86"/>
  <c r="H77"/>
  <c r="H74"/>
  <c r="I93"/>
  <c r="I95" s="1"/>
  <c r="I89"/>
  <c r="I83"/>
  <c r="I86" s="1"/>
  <c r="I76"/>
  <c r="I77"/>
  <c r="I74"/>
  <c r="J89"/>
  <c r="J82"/>
  <c r="J86" s="1"/>
  <c r="J85"/>
  <c r="J77"/>
  <c r="J74"/>
  <c r="K89"/>
  <c r="K86"/>
  <c r="K76"/>
  <c r="K77" s="1"/>
  <c r="K74"/>
  <c r="L89"/>
  <c r="L96" s="1"/>
  <c r="L82"/>
  <c r="L86" s="1"/>
  <c r="L77"/>
  <c r="L74"/>
  <c r="M89"/>
  <c r="M86"/>
  <c r="M77"/>
  <c r="M74"/>
  <c r="N89"/>
  <c r="N82"/>
  <c r="N86" s="1"/>
  <c r="N96" s="1"/>
  <c r="N77"/>
  <c r="N74"/>
  <c r="O93"/>
  <c r="O95" s="1"/>
  <c r="O89"/>
  <c r="O82"/>
  <c r="O86"/>
  <c r="O76"/>
  <c r="O77" s="1"/>
  <c r="O73"/>
  <c r="O74"/>
  <c r="P89"/>
  <c r="P79"/>
  <c r="P86" s="1"/>
  <c r="P80"/>
  <c r="P83"/>
  <c r="P77"/>
  <c r="P71"/>
  <c r="P74" s="1"/>
  <c r="P72"/>
  <c r="Q93"/>
  <c r="Q95" s="1"/>
  <c r="Q89"/>
  <c r="Q82"/>
  <c r="Q86"/>
  <c r="Q76"/>
  <c r="Q77" s="1"/>
  <c r="Q73"/>
  <c r="Q74"/>
  <c r="R89"/>
  <c r="R79"/>
  <c r="R80"/>
  <c r="R86" s="1"/>
  <c r="R83"/>
  <c r="R77"/>
  <c r="R71"/>
  <c r="R74" s="1"/>
  <c r="R72"/>
  <c r="S89"/>
  <c r="S82"/>
  <c r="S86" s="1"/>
  <c r="S76"/>
  <c r="S77"/>
  <c r="S74"/>
  <c r="T89"/>
  <c r="T85"/>
  <c r="T86"/>
  <c r="T96" s="1"/>
  <c r="T77"/>
  <c r="T72"/>
  <c r="T73"/>
  <c r="T74"/>
  <c r="G89"/>
  <c r="G86"/>
  <c r="G76"/>
  <c r="G77" s="1"/>
  <c r="G74"/>
  <c r="F62"/>
  <c r="F68" s="1"/>
  <c r="F50"/>
  <c r="F134"/>
  <c r="F131"/>
  <c r="F31"/>
  <c r="F20"/>
  <c r="F17"/>
  <c r="N67"/>
  <c r="N62"/>
  <c r="N68" s="1"/>
  <c r="N55"/>
  <c r="N59"/>
  <c r="N50"/>
  <c r="N47"/>
  <c r="N153"/>
  <c r="N147"/>
  <c r="N139"/>
  <c r="N143" s="1"/>
  <c r="N154" s="1"/>
  <c r="N134"/>
  <c r="N131"/>
  <c r="N38"/>
  <c r="N31"/>
  <c r="N22"/>
  <c r="N25"/>
  <c r="N28" s="1"/>
  <c r="N39" s="1"/>
  <c r="N20"/>
  <c r="N17"/>
  <c r="R140"/>
  <c r="P140"/>
  <c r="I140"/>
  <c r="M52"/>
  <c r="M59" s="1"/>
  <c r="M67"/>
  <c r="M62"/>
  <c r="M50"/>
  <c r="M47"/>
  <c r="M153"/>
  <c r="M147"/>
  <c r="M136"/>
  <c r="M143" s="1"/>
  <c r="M134"/>
  <c r="M131"/>
  <c r="M35"/>
  <c r="M38"/>
  <c r="M39" s="1"/>
  <c r="M31"/>
  <c r="M28"/>
  <c r="M20"/>
  <c r="M17"/>
  <c r="S133"/>
  <c r="Q133"/>
  <c r="O133"/>
  <c r="K133"/>
  <c r="I133"/>
  <c r="G133"/>
  <c r="T22"/>
  <c r="R22"/>
  <c r="P22"/>
  <c r="P28" s="1"/>
  <c r="L22"/>
  <c r="J22"/>
  <c r="H22"/>
  <c r="R14"/>
  <c r="P14"/>
  <c r="Q150"/>
  <c r="O150"/>
  <c r="S52"/>
  <c r="S59" s="1"/>
  <c r="S68" s="1"/>
  <c r="K52"/>
  <c r="I52"/>
  <c r="G52"/>
  <c r="T153"/>
  <c r="T147"/>
  <c r="T142"/>
  <c r="T139"/>
  <c r="T143"/>
  <c r="T134"/>
  <c r="T130"/>
  <c r="T131"/>
  <c r="T154"/>
  <c r="T67"/>
  <c r="T68" s="1"/>
  <c r="T62"/>
  <c r="T58"/>
  <c r="T59"/>
  <c r="T50"/>
  <c r="T47"/>
  <c r="T38"/>
  <c r="T39" s="1"/>
  <c r="T31"/>
  <c r="T25"/>
  <c r="T27"/>
  <c r="T28"/>
  <c r="T20"/>
  <c r="T15"/>
  <c r="T16"/>
  <c r="T17"/>
  <c r="S153"/>
  <c r="S147"/>
  <c r="S154" s="1"/>
  <c r="S136"/>
  <c r="S143" s="1"/>
  <c r="S55"/>
  <c r="S134"/>
  <c r="S131"/>
  <c r="S67"/>
  <c r="S62"/>
  <c r="S50"/>
  <c r="S47"/>
  <c r="S35"/>
  <c r="S38" s="1"/>
  <c r="S39" s="1"/>
  <c r="S31"/>
  <c r="S28"/>
  <c r="S20"/>
  <c r="S17"/>
  <c r="K28"/>
  <c r="K136"/>
  <c r="K143"/>
  <c r="J25"/>
  <c r="J28" s="1"/>
  <c r="J27"/>
  <c r="I28"/>
  <c r="I56"/>
  <c r="I59" s="1"/>
  <c r="J55"/>
  <c r="J142"/>
  <c r="J139"/>
  <c r="I136"/>
  <c r="I143" s="1"/>
  <c r="I154" s="1"/>
  <c r="H153"/>
  <c r="H154" s="1"/>
  <c r="H147"/>
  <c r="H55"/>
  <c r="H139"/>
  <c r="H143"/>
  <c r="H134"/>
  <c r="H131"/>
  <c r="H67"/>
  <c r="H68" s="1"/>
  <c r="H62"/>
  <c r="H59"/>
  <c r="H50"/>
  <c r="H47"/>
  <c r="H38"/>
  <c r="H31"/>
  <c r="H25"/>
  <c r="H28" s="1"/>
  <c r="H39" s="1"/>
  <c r="H20"/>
  <c r="H17"/>
  <c r="G153"/>
  <c r="G147"/>
  <c r="G136"/>
  <c r="G143" s="1"/>
  <c r="G154" s="1"/>
  <c r="G134"/>
  <c r="G131"/>
  <c r="G67"/>
  <c r="G62"/>
  <c r="G59"/>
  <c r="G50"/>
  <c r="G68" s="1"/>
  <c r="G47"/>
  <c r="G35"/>
  <c r="G38"/>
  <c r="G39" s="1"/>
  <c r="G31"/>
  <c r="G28"/>
  <c r="G20"/>
  <c r="G17"/>
  <c r="W35"/>
  <c r="U35"/>
  <c r="Q35"/>
  <c r="O35"/>
  <c r="O38" s="1"/>
  <c r="K35"/>
  <c r="I35"/>
  <c r="I151"/>
  <c r="I153"/>
  <c r="I147"/>
  <c r="I134"/>
  <c r="I131"/>
  <c r="J153"/>
  <c r="J147"/>
  <c r="J154" s="1"/>
  <c r="J134"/>
  <c r="J131"/>
  <c r="K153"/>
  <c r="K154" s="1"/>
  <c r="K147"/>
  <c r="K134"/>
  <c r="K131"/>
  <c r="L153"/>
  <c r="L147"/>
  <c r="L154" s="1"/>
  <c r="L55"/>
  <c r="L139"/>
  <c r="L143" s="1"/>
  <c r="L134"/>
  <c r="L129"/>
  <c r="L131"/>
  <c r="O151"/>
  <c r="O153" s="1"/>
  <c r="O154" s="1"/>
  <c r="O147"/>
  <c r="O55"/>
  <c r="O143"/>
  <c r="O134"/>
  <c r="O130"/>
  <c r="O131" s="1"/>
  <c r="P153"/>
  <c r="P147"/>
  <c r="P136"/>
  <c r="P143" s="1"/>
  <c r="P154" s="1"/>
  <c r="P139"/>
  <c r="P134"/>
  <c r="P127"/>
  <c r="P131" s="1"/>
  <c r="P129"/>
  <c r="Q151"/>
  <c r="Q153"/>
  <c r="Q154" s="1"/>
  <c r="Q147"/>
  <c r="Q55"/>
  <c r="Q143"/>
  <c r="Q134"/>
  <c r="Q130"/>
  <c r="Q131"/>
  <c r="R153"/>
  <c r="R147"/>
  <c r="R136"/>
  <c r="R143" s="1"/>
  <c r="R139"/>
  <c r="R134"/>
  <c r="R127"/>
  <c r="R131" s="1"/>
  <c r="R129"/>
  <c r="I65"/>
  <c r="I67" s="1"/>
  <c r="I68" s="1"/>
  <c r="I62"/>
  <c r="I49"/>
  <c r="I50"/>
  <c r="I47"/>
  <c r="J67"/>
  <c r="J62"/>
  <c r="J68" s="1"/>
  <c r="J58"/>
  <c r="J59"/>
  <c r="J50"/>
  <c r="J47"/>
  <c r="K67"/>
  <c r="K68" s="1"/>
  <c r="K62"/>
  <c r="K59"/>
  <c r="K50"/>
  <c r="K47"/>
  <c r="L67"/>
  <c r="L62"/>
  <c r="L59"/>
  <c r="L50"/>
  <c r="L45"/>
  <c r="L47" s="1"/>
  <c r="O65"/>
  <c r="O67"/>
  <c r="O68" s="1"/>
  <c r="O62"/>
  <c r="O59"/>
  <c r="O49"/>
  <c r="O50"/>
  <c r="O46"/>
  <c r="O47"/>
  <c r="P67"/>
  <c r="P62"/>
  <c r="P56"/>
  <c r="P59" s="1"/>
  <c r="P50"/>
  <c r="P44"/>
  <c r="P47" s="1"/>
  <c r="P45"/>
  <c r="Q65"/>
  <c r="Q67"/>
  <c r="Q68" s="1"/>
  <c r="Q62"/>
  <c r="Q59"/>
  <c r="Q49"/>
  <c r="Q50"/>
  <c r="Q46"/>
  <c r="Q47"/>
  <c r="R67"/>
  <c r="R62"/>
  <c r="R56"/>
  <c r="R59" s="1"/>
  <c r="R50"/>
  <c r="R44"/>
  <c r="R45"/>
  <c r="R47" s="1"/>
  <c r="I36"/>
  <c r="I38"/>
  <c r="I39" s="1"/>
  <c r="I31"/>
  <c r="I19"/>
  <c r="I20" s="1"/>
  <c r="I17"/>
  <c r="J38"/>
  <c r="J39" s="1"/>
  <c r="J31"/>
  <c r="J20"/>
  <c r="J16"/>
  <c r="J17"/>
  <c r="K38"/>
  <c r="K39" s="1"/>
  <c r="K31"/>
  <c r="K20"/>
  <c r="K17"/>
  <c r="L38"/>
  <c r="L31"/>
  <c r="L39" s="1"/>
  <c r="L25"/>
  <c r="L28"/>
  <c r="L20"/>
  <c r="L15"/>
  <c r="L16"/>
  <c r="L17"/>
  <c r="O36"/>
  <c r="O31"/>
  <c r="O28"/>
  <c r="O19"/>
  <c r="O20" s="1"/>
  <c r="O17"/>
  <c r="P38"/>
  <c r="P39" s="1"/>
  <c r="P30"/>
  <c r="P31"/>
  <c r="P25"/>
  <c r="P20"/>
  <c r="P15"/>
  <c r="P17" s="1"/>
  <c r="P16"/>
  <c r="Q36"/>
  <c r="Q38" s="1"/>
  <c r="Q31"/>
  <c r="Q28"/>
  <c r="Q19"/>
  <c r="Q20" s="1"/>
  <c r="Q17"/>
  <c r="R38"/>
  <c r="R39" s="1"/>
  <c r="R30"/>
  <c r="R31"/>
  <c r="R25"/>
  <c r="R28"/>
  <c r="R20"/>
  <c r="R15"/>
  <c r="R16"/>
  <c r="R17"/>
  <c r="X140"/>
  <c r="V140"/>
  <c r="X136"/>
  <c r="V136"/>
  <c r="W107"/>
  <c r="W114" s="1"/>
  <c r="U107"/>
  <c r="X80"/>
  <c r="X86" s="1"/>
  <c r="V80"/>
  <c r="W82"/>
  <c r="U82"/>
  <c r="W64"/>
  <c r="U64"/>
  <c r="X56"/>
  <c r="V56"/>
  <c r="X44"/>
  <c r="X47" s="1"/>
  <c r="V44"/>
  <c r="X83"/>
  <c r="V83"/>
  <c r="X127"/>
  <c r="X131" s="1"/>
  <c r="V127"/>
  <c r="X111"/>
  <c r="V111"/>
  <c r="X22"/>
  <c r="V22"/>
  <c r="X76"/>
  <c r="V76"/>
  <c r="X133"/>
  <c r="X134" s="1"/>
  <c r="V133"/>
  <c r="X137"/>
  <c r="V137"/>
  <c r="W104"/>
  <c r="W105" s="1"/>
  <c r="U104"/>
  <c r="X129"/>
  <c r="V129"/>
  <c r="X45"/>
  <c r="V45"/>
  <c r="X100"/>
  <c r="X102" s="1"/>
  <c r="W139"/>
  <c r="U139"/>
  <c r="W150"/>
  <c r="U150"/>
  <c r="U153" s="1"/>
  <c r="U154" s="1"/>
  <c r="W49"/>
  <c r="U49"/>
  <c r="X110"/>
  <c r="V110"/>
  <c r="V114" s="1"/>
  <c r="V124" s="1"/>
  <c r="X55"/>
  <c r="X59" s="1"/>
  <c r="X68" s="1"/>
  <c r="V55"/>
  <c r="V59" s="1"/>
  <c r="V68" s="1"/>
  <c r="W19"/>
  <c r="U19"/>
  <c r="U20" s="1"/>
  <c r="U73"/>
  <c r="U74"/>
  <c r="V74"/>
  <c r="W73"/>
  <c r="W74" s="1"/>
  <c r="X72"/>
  <c r="X74" s="1"/>
  <c r="Y74"/>
  <c r="Z74"/>
  <c r="AA74"/>
  <c r="AB74"/>
  <c r="U89"/>
  <c r="V89"/>
  <c r="W89"/>
  <c r="X89"/>
  <c r="Y89"/>
  <c r="Z89"/>
  <c r="AA89"/>
  <c r="AB89"/>
  <c r="U59"/>
  <c r="W59"/>
  <c r="Y59"/>
  <c r="Z59"/>
  <c r="AA59"/>
  <c r="AB59"/>
  <c r="X15"/>
  <c r="X17" s="1"/>
  <c r="V15"/>
  <c r="W130"/>
  <c r="U130"/>
  <c r="W101"/>
  <c r="W102" s="1"/>
  <c r="U101"/>
  <c r="W46"/>
  <c r="U46"/>
  <c r="W151"/>
  <c r="U151"/>
  <c r="W121"/>
  <c r="W123" s="1"/>
  <c r="U121"/>
  <c r="W93"/>
  <c r="W95" s="1"/>
  <c r="W96" s="1"/>
  <c r="U93"/>
  <c r="W65"/>
  <c r="U65"/>
  <c r="W36"/>
  <c r="W38" s="1"/>
  <c r="U36"/>
  <c r="X25"/>
  <c r="V25"/>
  <c r="W16"/>
  <c r="W17" s="1"/>
  <c r="U16"/>
  <c r="W67"/>
  <c r="W68" s="1"/>
  <c r="X147"/>
  <c r="W147"/>
  <c r="V147"/>
  <c r="U147"/>
  <c r="X31"/>
  <c r="W31"/>
  <c r="V31"/>
  <c r="U31"/>
  <c r="U28"/>
  <c r="U102"/>
  <c r="V102"/>
  <c r="Y102"/>
  <c r="Z102"/>
  <c r="AA102"/>
  <c r="AB102"/>
  <c r="X143"/>
  <c r="X28"/>
  <c r="V77"/>
  <c r="V17"/>
  <c r="U134"/>
  <c r="V134"/>
  <c r="W134"/>
  <c r="Y134"/>
  <c r="Y154" s="1"/>
  <c r="U143"/>
  <c r="X117"/>
  <c r="W117"/>
  <c r="V117"/>
  <c r="U117"/>
  <c r="X67"/>
  <c r="X153"/>
  <c r="X154" s="1"/>
  <c r="V38"/>
  <c r="U131"/>
  <c r="V153"/>
  <c r="V143"/>
  <c r="V131"/>
  <c r="W153"/>
  <c r="W154" s="1"/>
  <c r="W143"/>
  <c r="W131"/>
  <c r="Y143"/>
  <c r="U105"/>
  <c r="V105"/>
  <c r="X105"/>
  <c r="Y105"/>
  <c r="U38"/>
  <c r="U39" s="1"/>
  <c r="U17"/>
  <c r="V20"/>
  <c r="V28"/>
  <c r="W20"/>
  <c r="W28"/>
  <c r="X20"/>
  <c r="X38"/>
  <c r="X39" s="1"/>
  <c r="Y20"/>
  <c r="Y39" s="1"/>
  <c r="Y38"/>
  <c r="Y17"/>
  <c r="U123"/>
  <c r="V123"/>
  <c r="X123"/>
  <c r="X124" s="1"/>
  <c r="Y123"/>
  <c r="U47"/>
  <c r="V47"/>
  <c r="W47"/>
  <c r="Y47"/>
  <c r="U114"/>
  <c r="X114"/>
  <c r="Y114"/>
  <c r="U77"/>
  <c r="W77"/>
  <c r="X77"/>
  <c r="Y77"/>
  <c r="U50"/>
  <c r="U67"/>
  <c r="U62"/>
  <c r="U68" s="1"/>
  <c r="V50"/>
  <c r="V67"/>
  <c r="V62"/>
  <c r="W50"/>
  <c r="W62"/>
  <c r="X50"/>
  <c r="X62"/>
  <c r="Y50"/>
  <c r="Y62"/>
  <c r="U95"/>
  <c r="U96" s="1"/>
  <c r="U86"/>
  <c r="V95"/>
  <c r="V96" s="1"/>
  <c r="X95"/>
  <c r="Y95"/>
  <c r="W86"/>
  <c r="V86"/>
  <c r="Y124"/>
  <c r="Y68"/>
  <c r="U124"/>
  <c r="V39"/>
  <c r="V154"/>
  <c r="V164" s="1"/>
  <c r="V165" s="1"/>
  <c r="L164" l="1"/>
  <c r="L165" s="1"/>
  <c r="Q96"/>
  <c r="G124"/>
  <c r="G164" s="1"/>
  <c r="G165" s="1"/>
  <c r="W124"/>
  <c r="X96"/>
  <c r="Q39"/>
  <c r="Q164" s="1"/>
  <c r="Q165" s="1"/>
  <c r="P68"/>
  <c r="N164"/>
  <c r="N165" s="1"/>
  <c r="R96"/>
  <c r="Q124"/>
  <c r="E164"/>
  <c r="E165" s="1"/>
  <c r="S96"/>
  <c r="J96"/>
  <c r="J164" s="1"/>
  <c r="J165" s="1"/>
  <c r="M154"/>
  <c r="O96"/>
  <c r="P96"/>
  <c r="P164" s="1"/>
  <c r="P165" s="1"/>
  <c r="K96"/>
  <c r="G96"/>
  <c r="L68"/>
  <c r="O164"/>
  <c r="O165" s="1"/>
  <c r="S164"/>
  <c r="S165" s="1"/>
  <c r="X164"/>
  <c r="X165" s="1"/>
  <c r="W39"/>
  <c r="W164" s="1"/>
  <c r="W165" s="1"/>
  <c r="U164"/>
  <c r="U165" s="1"/>
  <c r="R68"/>
  <c r="R154"/>
  <c r="R164" s="1"/>
  <c r="R165" s="1"/>
  <c r="K164"/>
  <c r="K165" s="1"/>
  <c r="O39"/>
  <c r="H164"/>
  <c r="H165" s="1"/>
  <c r="M68"/>
  <c r="I96"/>
  <c r="I164" s="1"/>
  <c r="I165" s="1"/>
  <c r="T124"/>
  <c r="T164" s="1"/>
  <c r="T165" s="1"/>
  <c r="O124"/>
  <c r="F164"/>
  <c r="M164" l="1"/>
  <c r="M165" s="1"/>
</calcChain>
</file>

<file path=xl/sharedStrings.xml><?xml version="1.0" encoding="utf-8"?>
<sst xmlns="http://schemas.openxmlformats.org/spreadsheetml/2006/main" count="450" uniqueCount="181">
  <si>
    <t>Цена</t>
  </si>
  <si>
    <t>Белки</t>
  </si>
  <si>
    <t>Жиры</t>
  </si>
  <si>
    <t>Углеводы</t>
  </si>
  <si>
    <t xml:space="preserve">Завтрак </t>
  </si>
  <si>
    <t>200</t>
  </si>
  <si>
    <t>150</t>
  </si>
  <si>
    <t>Итого</t>
  </si>
  <si>
    <t>2 Завтрак</t>
  </si>
  <si>
    <t>Обед</t>
  </si>
  <si>
    <t>75</t>
  </si>
  <si>
    <t>Хлеб "Рябинушка"</t>
  </si>
  <si>
    <t>Полдник</t>
  </si>
  <si>
    <t>Ужин</t>
  </si>
  <si>
    <t>1/20</t>
  </si>
  <si>
    <t>Итого за день</t>
  </si>
  <si>
    <t xml:space="preserve">2 Завтрак </t>
  </si>
  <si>
    <t xml:space="preserve">Полдник </t>
  </si>
  <si>
    <t>Завтрак</t>
  </si>
  <si>
    <t xml:space="preserve">2 завтрак </t>
  </si>
  <si>
    <t xml:space="preserve">Молоко кипяченое </t>
  </si>
  <si>
    <t>сад</t>
  </si>
  <si>
    <t>ясли</t>
  </si>
  <si>
    <t>697./04</t>
  </si>
  <si>
    <t>№ рец.</t>
  </si>
  <si>
    <t>698./04</t>
  </si>
  <si>
    <t>Кисель</t>
  </si>
  <si>
    <t>Макароны отварные</t>
  </si>
  <si>
    <t>510./04</t>
  </si>
  <si>
    <t>516./04</t>
  </si>
  <si>
    <t>60</t>
  </si>
  <si>
    <t>180</t>
  </si>
  <si>
    <t>ТТК-305</t>
  </si>
  <si>
    <t xml:space="preserve">Какао с молоком </t>
  </si>
  <si>
    <t>Прием пищи, наименование блюда</t>
  </si>
  <si>
    <t xml:space="preserve">Масса порции </t>
  </si>
  <si>
    <t>Пищевые вещества (г)</t>
  </si>
  <si>
    <t>Энерг. ценность (ккал)</t>
  </si>
  <si>
    <t>Витамины (мг)</t>
  </si>
  <si>
    <t>Минеральные вещества (мг)</t>
  </si>
  <si>
    <t>С</t>
  </si>
  <si>
    <t>Ca</t>
  </si>
  <si>
    <t>Fe</t>
  </si>
  <si>
    <t>2,4 группа</t>
  </si>
  <si>
    <t xml:space="preserve">ИТОГО ЗА НЕДЕЛЮ:                                    </t>
  </si>
  <si>
    <t>В среднем в день</t>
  </si>
  <si>
    <t>к устройству, содержанию и организации режима работы в дошкольных организациях"</t>
  </si>
  <si>
    <r>
      <t>В</t>
    </r>
    <r>
      <rPr>
        <vertAlign val="subscript"/>
        <sz val="10"/>
        <rFont val="Times New Roman"/>
        <family val="1"/>
        <charset val="204"/>
      </rPr>
      <t>2</t>
    </r>
  </si>
  <si>
    <t>Хлеб "Дарницкий"</t>
  </si>
  <si>
    <t>648./04</t>
  </si>
  <si>
    <t>В.П. Гусева</t>
  </si>
  <si>
    <t>395/10</t>
  </si>
  <si>
    <t>707./04</t>
  </si>
  <si>
    <t>1./04</t>
  </si>
  <si>
    <t xml:space="preserve">Кофейный напиток с молоком </t>
  </si>
  <si>
    <t xml:space="preserve">Батон с маслом </t>
  </si>
  <si>
    <t>311./04</t>
  </si>
  <si>
    <t xml:space="preserve">Генеральный директор                                                                                                                     </t>
  </si>
  <si>
    <t>Рекомендуемые нормы физиологических потребностей для детей с 3 до 7 лет в пищевых веществах и энергии согласно СанПиН 2.4.1.3049 - 13 "Санитарно - эпидемиологические требования</t>
  </si>
  <si>
    <t>Сок разливной</t>
  </si>
  <si>
    <t>11 группа: сады № 28, 30, 34, 40, 50, 50(ф), 51, 52, 54, 93, 103, 110</t>
  </si>
  <si>
    <t>337./04</t>
  </si>
  <si>
    <t>Яйцо вареное</t>
  </si>
  <si>
    <t>1 шт</t>
  </si>
  <si>
    <t>100/50</t>
  </si>
  <si>
    <t>3./04</t>
  </si>
  <si>
    <t>200/25</t>
  </si>
  <si>
    <t>150/25</t>
  </si>
  <si>
    <r>
      <t>В</t>
    </r>
    <r>
      <rPr>
        <vertAlign val="subscript"/>
        <sz val="10"/>
        <rFont val="Times New Roman"/>
        <family val="1"/>
        <charset val="204"/>
      </rPr>
      <t>1</t>
    </r>
  </si>
  <si>
    <t xml:space="preserve">УТВЕРЖДАЮ:        </t>
  </si>
  <si>
    <t>Главный специалист отдела</t>
  </si>
  <si>
    <t>дошкольного образования</t>
  </si>
  <si>
    <t>12 группа: сады № 7, 12, 14, 18, 21, 29, 31, 35, 39, 46, 97, 106, 115</t>
  </si>
  <si>
    <t>18 группа: сады № 8, 9, 16, 27, 62, 65, 66, 82, 86, 108, 109, 118</t>
  </si>
  <si>
    <t>17 группа: сады № 41, 44, 53, 61, 78, 80, 83, 94, 98, 104, 111, 114</t>
  </si>
  <si>
    <t>Кефир</t>
  </si>
  <si>
    <t>50/150</t>
  </si>
  <si>
    <t>Каша молочная манная (жидкая) с маслом</t>
  </si>
  <si>
    <t>130</t>
  </si>
  <si>
    <t>1/46,4</t>
  </si>
  <si>
    <t>1/40,6</t>
  </si>
  <si>
    <t>161./04</t>
  </si>
  <si>
    <t xml:space="preserve">Зам. начальника производственного отдела </t>
  </si>
  <si>
    <t>ТТК-653</t>
  </si>
  <si>
    <t xml:space="preserve">Зразы мясные "Любимые" с сыром </t>
  </si>
  <si>
    <t xml:space="preserve">Экономист по ценам                                                                                                  </t>
  </si>
  <si>
    <t>20/5</t>
  </si>
  <si>
    <t>ТТК-475</t>
  </si>
  <si>
    <t>Чай полусладкий</t>
  </si>
  <si>
    <t>541/04</t>
  </si>
  <si>
    <t xml:space="preserve">Рагу овощное </t>
  </si>
  <si>
    <t>200/3</t>
  </si>
  <si>
    <t>150/3</t>
  </si>
  <si>
    <t>ТТК-400</t>
  </si>
  <si>
    <t>Капуста тушеная с мясом</t>
  </si>
  <si>
    <t>Каша гречневая вязкая</t>
  </si>
  <si>
    <t>100</t>
  </si>
  <si>
    <t>Суп молочный с пшеном</t>
  </si>
  <si>
    <t>Напиток "Фруктовый" из сухофруктов</t>
  </si>
  <si>
    <t>ТТК-730</t>
  </si>
  <si>
    <r>
      <t xml:space="preserve">Фрикад. рыбные "Капелька" с соус. томатн </t>
    </r>
    <r>
      <rPr>
        <b/>
        <sz val="10"/>
        <rFont val="Times New Roman"/>
        <family val="1"/>
        <charset val="204"/>
      </rPr>
      <t xml:space="preserve"> </t>
    </r>
  </si>
  <si>
    <t>50/30</t>
  </si>
  <si>
    <t>50</t>
  </si>
  <si>
    <t>520./04</t>
  </si>
  <si>
    <t>Картофельное пюре</t>
  </si>
  <si>
    <t>ТТК-317</t>
  </si>
  <si>
    <t>ТТК-446</t>
  </si>
  <si>
    <t>Пюре "Янтарное"</t>
  </si>
  <si>
    <t>124/04</t>
  </si>
  <si>
    <t>ТТК-315</t>
  </si>
  <si>
    <t>Компот "Фруктовый" из кураги</t>
  </si>
  <si>
    <t>Фатхуллина Г.А.</t>
  </si>
  <si>
    <t xml:space="preserve">Каша ячневая  вязкая </t>
  </si>
  <si>
    <t>14 группа: сады № 10, 17, 20, 26, 49, 64, 72, 73, 75, 92, 96, 105, 120</t>
  </si>
  <si>
    <t>170</t>
  </si>
  <si>
    <t>Суп молочный с рисом</t>
  </si>
  <si>
    <t>Каша молочная пшеничная (жидкая) с маслом</t>
  </si>
  <si>
    <t>Десерт фруктовый "Апельсин"</t>
  </si>
  <si>
    <t>45</t>
  </si>
  <si>
    <t>ТТК-738</t>
  </si>
  <si>
    <t xml:space="preserve">Котлеты "Крестьянские" </t>
  </si>
  <si>
    <t>Батон  с сыром</t>
  </si>
  <si>
    <t>Компот "Фруктовый" из изюма</t>
  </si>
  <si>
    <t>318/10</t>
  </si>
  <si>
    <t xml:space="preserve">Картофель отварной </t>
  </si>
  <si>
    <t>Огурец свежий порционный</t>
  </si>
  <si>
    <t>ТТК-739</t>
  </si>
  <si>
    <t xml:space="preserve">Котлеты "Татарские" </t>
  </si>
  <si>
    <t>733/04</t>
  </si>
  <si>
    <t xml:space="preserve">Оладьи </t>
  </si>
  <si>
    <t>390./04</t>
  </si>
  <si>
    <t>Котлеты рыбные "Любительские"</t>
  </si>
  <si>
    <t>ТТК-341</t>
  </si>
  <si>
    <t>Запеканка "Сладкоежка" с соусом молочным сладким</t>
  </si>
  <si>
    <t>150/50</t>
  </si>
  <si>
    <t>142./04</t>
  </si>
  <si>
    <t xml:space="preserve">Суп картофельный с рыбными фрикадельками </t>
  </si>
  <si>
    <t>Десерт фруктовый "Банан"</t>
  </si>
  <si>
    <t>ТТК-53</t>
  </si>
  <si>
    <t xml:space="preserve">Мякоть птицы тушеная в соусе </t>
  </si>
  <si>
    <t>40/50</t>
  </si>
  <si>
    <t>Каша рисовая вязкая</t>
  </si>
  <si>
    <t>200/5</t>
  </si>
  <si>
    <t>150/5</t>
  </si>
  <si>
    <t>Молоко кипяченое с печеньем "Со вкусом топл. молока"</t>
  </si>
  <si>
    <t>180/18</t>
  </si>
  <si>
    <t>Десерт фруктовый "Яблоко"</t>
  </si>
  <si>
    <t xml:space="preserve">Щи из свежей капусты с карт.  со смет. </t>
  </si>
  <si>
    <t>ТТК-868</t>
  </si>
  <si>
    <t>Пудинг "Творожный" с яблоками с соус смет "Сластена"</t>
  </si>
  <si>
    <t>150/30</t>
  </si>
  <si>
    <t>ТТК-637</t>
  </si>
  <si>
    <t>Салат из свеж. кап. с огурцом</t>
  </si>
  <si>
    <t>612/04</t>
  </si>
  <si>
    <t xml:space="preserve">Маринад овощной </t>
  </si>
  <si>
    <t>ТТК-425</t>
  </si>
  <si>
    <t>Суп "Гречишное зёрнышко"</t>
  </si>
  <si>
    <t>78./04</t>
  </si>
  <si>
    <t>Салат "Зайка"</t>
  </si>
  <si>
    <t>139/04</t>
  </si>
  <si>
    <t xml:space="preserve">Суп картофельный с горохом </t>
  </si>
  <si>
    <t xml:space="preserve">НЕДЕЛЬНОЕ МЕНЮ ДЛЯ ОБЩЕРАЗВИВАЮЩИХ ДЕТСКИХ САДОВ С 30.07.18 г по 03.08.18 г    </t>
  </si>
  <si>
    <t>ПОНЕДЕЛЬНИК 30.07</t>
  </si>
  <si>
    <t>ВТОРНИК 31.07</t>
  </si>
  <si>
    <t>СРЕДА 01.08</t>
  </si>
  <si>
    <t>ЧЕТВЕРГ 02.08</t>
  </si>
  <si>
    <t>ПЯТНИЦА 03.08</t>
  </si>
  <si>
    <t xml:space="preserve">Начальник производственного отдела                                                              </t>
  </si>
  <si>
    <t>Е.В. Сашинская</t>
  </si>
  <si>
    <t>Батон с маслом с сыром</t>
  </si>
  <si>
    <t>20/5/5</t>
  </si>
  <si>
    <t>Н.В. Журавлева</t>
  </si>
  <si>
    <t>ТТК-980</t>
  </si>
  <si>
    <t>Салат из моркови с бананом</t>
  </si>
  <si>
    <t>148</t>
  </si>
  <si>
    <t xml:space="preserve">Н.П. Яранцева </t>
  </si>
  <si>
    <t>148./04</t>
  </si>
  <si>
    <t xml:space="preserve">Суп -лапша по-домашнему с мясными фрикадельками </t>
  </si>
  <si>
    <t>162</t>
  </si>
  <si>
    <t>163</t>
  </si>
  <si>
    <t>159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</si>
</sst>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 Cyr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.5"/>
      <name val="Times New Roman"/>
      <family val="1"/>
      <charset val="204"/>
    </font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</cellStyleXfs>
  <cellXfs count="194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3" fillId="0" borderId="0" xfId="0" applyFont="1" applyFill="1"/>
    <xf numFmtId="2" fontId="0" fillId="0" borderId="0" xfId="0" applyNumberFormat="1"/>
    <xf numFmtId="0" fontId="0" fillId="0" borderId="0" xfId="0" applyFont="1"/>
    <xf numFmtId="49" fontId="0" fillId="0" borderId="0" xfId="0" applyNumberFormat="1"/>
    <xf numFmtId="0" fontId="4" fillId="0" borderId="0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6" fillId="0" borderId="0" xfId="0" applyNumberFormat="1" applyFont="1"/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2" fontId="4" fillId="0" borderId="0" xfId="0" applyNumberFormat="1" applyFont="1" applyFill="1"/>
    <xf numFmtId="0" fontId="4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/>
    <xf numFmtId="0" fontId="4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/>
    </xf>
    <xf numFmtId="0" fontId="2" fillId="0" borderId="0" xfId="0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14" fillId="0" borderId="1" xfId="0" applyNumberFormat="1" applyFont="1" applyBorder="1"/>
    <xf numFmtId="0" fontId="14" fillId="0" borderId="1" xfId="0" applyFont="1" applyBorder="1"/>
    <xf numFmtId="0" fontId="0" fillId="0" borderId="0" xfId="0" applyBorder="1"/>
    <xf numFmtId="0" fontId="0" fillId="0" borderId="2" xfId="0" applyBorder="1"/>
    <xf numFmtId="0" fontId="7" fillId="0" borderId="2" xfId="0" applyFont="1" applyBorder="1"/>
    <xf numFmtId="0" fontId="7" fillId="0" borderId="0" xfId="0" applyFont="1" applyBorder="1"/>
    <xf numFmtId="0" fontId="0" fillId="0" borderId="0" xfId="0" applyFill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8" fillId="0" borderId="3" xfId="0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horizontal="center" vertical="center" wrapText="1"/>
    </xf>
    <xf numFmtId="2" fontId="9" fillId="0" borderId="3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top" wrapText="1"/>
    </xf>
    <xf numFmtId="2" fontId="9" fillId="0" borderId="3" xfId="2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3" xfId="1" applyNumberFormat="1" applyFont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/>
    <xf numFmtId="2" fontId="9" fillId="0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2" fontId="9" fillId="0" borderId="3" xfId="2" applyNumberFormat="1" applyFont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2" fontId="4" fillId="0" borderId="8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5" fillId="0" borderId="0" xfId="0" applyFont="1"/>
    <xf numFmtId="2" fontId="4" fillId="0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2" fontId="4" fillId="0" borderId="9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2" fontId="6" fillId="0" borderId="0" xfId="0" applyNumberFormat="1" applyFont="1" applyFill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center" vertical="center"/>
    </xf>
    <xf numFmtId="0" fontId="4" fillId="0" borderId="0" xfId="0" applyFont="1" applyAlignment="1"/>
    <xf numFmtId="2" fontId="9" fillId="0" borderId="7" xfId="2" applyNumberFormat="1" applyFont="1" applyFill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0" fontId="15" fillId="0" borderId="0" xfId="0" applyFont="1" applyBorder="1"/>
    <xf numFmtId="0" fontId="6" fillId="0" borderId="0" xfId="0" applyFont="1" applyFill="1"/>
    <xf numFmtId="0" fontId="4" fillId="0" borderId="10" xfId="0" applyFont="1" applyFill="1" applyBorder="1" applyAlignment="1">
      <alignment vertical="top" wrapText="1"/>
    </xf>
    <xf numFmtId="0" fontId="0" fillId="5" borderId="0" xfId="0" applyFill="1"/>
    <xf numFmtId="0" fontId="0" fillId="5" borderId="0" xfId="0" applyFill="1" applyBorder="1"/>
    <xf numFmtId="49" fontId="0" fillId="0" borderId="2" xfId="0" applyNumberFormat="1" applyBorder="1"/>
    <xf numFmtId="49" fontId="9" fillId="0" borderId="6" xfId="0" applyNumberFormat="1" applyFont="1" applyFill="1" applyBorder="1" applyAlignment="1">
      <alignment horizontal="center" vertical="center" wrapText="1"/>
    </xf>
    <xf numFmtId="2" fontId="9" fillId="0" borderId="4" xfId="1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Font="1" applyFill="1" applyBorder="1"/>
    <xf numFmtId="2" fontId="9" fillId="0" borderId="7" xfId="0" applyNumberFormat="1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Border="1"/>
    <xf numFmtId="2" fontId="9" fillId="0" borderId="6" xfId="1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2" fontId="9" fillId="0" borderId="3" xfId="3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distributed"/>
    </xf>
    <xf numFmtId="49" fontId="8" fillId="6" borderId="3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5" borderId="3" xfId="0" applyNumberFormat="1" applyFont="1" applyFill="1" applyBorder="1" applyAlignment="1">
      <alignment horizontal="center" vertical="center" wrapText="1"/>
    </xf>
    <xf numFmtId="2" fontId="9" fillId="5" borderId="3" xfId="1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8" fillId="7" borderId="3" xfId="0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" fontId="8" fillId="6" borderId="1" xfId="0" applyNumberFormat="1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16" fillId="8" borderId="1" xfId="0" applyFont="1" applyFill="1" applyBorder="1" applyAlignment="1">
      <alignment vertical="top" wrapText="1"/>
    </xf>
    <xf numFmtId="2" fontId="9" fillId="0" borderId="14" xfId="1" applyNumberFormat="1" applyFont="1" applyFill="1" applyBorder="1" applyAlignment="1">
      <alignment horizontal="center" vertical="center"/>
    </xf>
    <xf numFmtId="0" fontId="0" fillId="0" borderId="2" xfId="0" applyFont="1" applyBorder="1"/>
    <xf numFmtId="0" fontId="10" fillId="0" borderId="1" xfId="0" applyFont="1" applyFill="1" applyBorder="1" applyAlignment="1">
      <alignment horizontal="center" vertical="distributed"/>
    </xf>
    <xf numFmtId="49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/>
    </xf>
    <xf numFmtId="0" fontId="7" fillId="0" borderId="0" xfId="0" applyFont="1" applyFill="1"/>
    <xf numFmtId="2" fontId="0" fillId="0" borderId="0" xfId="0" applyNumberFormat="1" applyFill="1"/>
    <xf numFmtId="2" fontId="0" fillId="0" borderId="0" xfId="0" applyNumberFormat="1" applyFill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wrapText="1"/>
    </xf>
    <xf numFmtId="49" fontId="4" fillId="0" borderId="15" xfId="0" applyNumberFormat="1" applyFont="1" applyFill="1" applyBorder="1" applyAlignment="1">
      <alignment vertical="top" wrapText="1"/>
    </xf>
    <xf numFmtId="49" fontId="9" fillId="0" borderId="15" xfId="0" applyNumberFormat="1" applyFont="1" applyFill="1" applyBorder="1" applyAlignment="1">
      <alignment horizontal="center" vertical="center" wrapText="1"/>
    </xf>
    <xf numFmtId="2" fontId="9" fillId="0" borderId="1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</cellXfs>
  <cellStyles count="4">
    <cellStyle name="Обычный" xfId="0" builtinId="0"/>
    <cellStyle name="Обычный_Лист1" xfId="1"/>
    <cellStyle name="Обычный_Лист2" xfId="2"/>
    <cellStyle name="Обычный_Лист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320040</xdr:colOff>
      <xdr:row>171</xdr:row>
      <xdr:rowOff>99060</xdr:rowOff>
    </xdr:from>
    <xdr:to>
      <xdr:col>8</xdr:col>
      <xdr:colOff>320040</xdr:colOff>
      <xdr:row>179</xdr:row>
      <xdr:rowOff>121920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4380" y="35486340"/>
          <a:ext cx="960120" cy="147828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106680</xdr:colOff>
      <xdr:row>3</xdr:row>
      <xdr:rowOff>60960</xdr:rowOff>
    </xdr:from>
    <xdr:to>
      <xdr:col>13</xdr:col>
      <xdr:colOff>320040</xdr:colOff>
      <xdr:row>4</xdr:row>
      <xdr:rowOff>167640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31380" y="632460"/>
          <a:ext cx="769620" cy="2971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2"/>
  <sheetViews>
    <sheetView tabSelected="1" workbookViewId="0">
      <selection activeCell="B61" sqref="B61"/>
    </sheetView>
  </sheetViews>
  <sheetFormatPr defaultRowHeight="13.2"/>
  <cols>
    <col min="1" max="1" width="6.6640625" style="24" customWidth="1"/>
    <col min="2" max="2" width="26.5546875" style="18" customWidth="1"/>
    <col min="3" max="3" width="7.33203125" style="18" customWidth="1"/>
    <col min="4" max="4" width="6.6640625" style="18" customWidth="1"/>
    <col min="5" max="6" width="7.33203125" style="19" customWidth="1"/>
    <col min="7" max="9" width="7" style="18" customWidth="1"/>
    <col min="10" max="10" width="7.44140625" style="18" customWidth="1"/>
    <col min="11" max="11" width="6.88671875" style="18" customWidth="1"/>
    <col min="12" max="12" width="6.6640625" style="18" customWidth="1"/>
    <col min="13" max="13" width="8.109375" style="18" customWidth="1"/>
    <col min="14" max="14" width="8" style="18" customWidth="1"/>
    <col min="15" max="18" width="5.5546875" hidden="1" customWidth="1"/>
    <col min="19" max="20" width="8.109375" customWidth="1"/>
    <col min="21" max="28" width="5.5546875" hidden="1" customWidth="1"/>
  </cols>
  <sheetData>
    <row r="1" spans="1:33" s="16" customFormat="1" ht="15" customHeight="1">
      <c r="A1" s="24"/>
      <c r="B1" s="18"/>
      <c r="C1" s="18"/>
      <c r="D1" s="18"/>
      <c r="E1" s="19"/>
      <c r="F1" s="19"/>
      <c r="G1" s="18"/>
      <c r="H1" s="2"/>
      <c r="I1" s="30"/>
      <c r="J1" s="30"/>
      <c r="K1" s="30"/>
      <c r="L1" s="3"/>
      <c r="M1" s="3" t="s">
        <v>69</v>
      </c>
      <c r="N1" s="3"/>
      <c r="O1" s="43"/>
      <c r="P1" s="2"/>
      <c r="Q1"/>
      <c r="R1" s="3"/>
      <c r="S1" s="3"/>
      <c r="T1" s="3"/>
      <c r="U1" s="43"/>
      <c r="V1" s="2"/>
      <c r="W1" s="3"/>
      <c r="X1" s="74"/>
      <c r="Y1" s="74"/>
      <c r="Z1" s="74"/>
      <c r="AA1" s="74"/>
      <c r="AB1" s="74"/>
      <c r="AC1" s="74"/>
    </row>
    <row r="2" spans="1:33" s="16" customFormat="1" ht="15" customHeight="1">
      <c r="A2" s="100" t="s">
        <v>60</v>
      </c>
      <c r="B2" s="18"/>
      <c r="C2" s="18"/>
      <c r="D2" s="18"/>
      <c r="E2" s="19"/>
      <c r="F2" s="19"/>
      <c r="G2" s="18"/>
      <c r="H2" s="3"/>
      <c r="I2" s="3"/>
      <c r="J2" s="43"/>
      <c r="K2" s="2"/>
      <c r="L2" s="3"/>
      <c r="M2" s="3" t="s">
        <v>70</v>
      </c>
      <c r="N2" s="3"/>
      <c r="O2" s="43"/>
      <c r="P2" s="3"/>
      <c r="Q2"/>
      <c r="R2" s="3"/>
      <c r="S2" s="3"/>
      <c r="T2" s="3"/>
      <c r="U2" s="43"/>
      <c r="V2" s="3"/>
      <c r="W2" s="3"/>
      <c r="X2" s="74"/>
      <c r="Y2" s="74"/>
      <c r="Z2" s="74"/>
      <c r="AA2" s="74"/>
      <c r="AB2" s="74"/>
      <c r="AC2" s="74"/>
    </row>
    <row r="3" spans="1:33" s="16" customFormat="1" ht="15" customHeight="1">
      <c r="A3" s="100" t="s">
        <v>72</v>
      </c>
      <c r="B3" s="18"/>
      <c r="C3" s="18"/>
      <c r="D3" s="18"/>
      <c r="E3" s="19"/>
      <c r="F3" s="19"/>
      <c r="G3" s="18"/>
      <c r="H3" s="3"/>
      <c r="I3" s="3"/>
      <c r="J3" s="43"/>
      <c r="K3" s="3"/>
      <c r="L3" s="3"/>
      <c r="M3" s="4" t="s">
        <v>71</v>
      </c>
      <c r="N3" s="3"/>
      <c r="O3" s="43"/>
      <c r="P3" s="2"/>
      <c r="Q3"/>
      <c r="R3" s="4"/>
      <c r="S3" s="3"/>
      <c r="T3" s="3"/>
      <c r="U3" s="43"/>
      <c r="V3" s="2"/>
      <c r="W3" s="3"/>
      <c r="X3" s="74"/>
      <c r="Y3" s="74"/>
      <c r="Z3" s="74"/>
      <c r="AA3" s="74"/>
      <c r="AB3" s="74"/>
      <c r="AC3" s="74"/>
    </row>
    <row r="4" spans="1:33" s="16" customFormat="1" ht="15" customHeight="1">
      <c r="A4" s="100" t="s">
        <v>113</v>
      </c>
      <c r="B4" s="18"/>
      <c r="C4" s="18"/>
      <c r="D4" s="18"/>
      <c r="E4" s="19"/>
      <c r="F4" s="19"/>
      <c r="G4" s="18"/>
      <c r="H4" s="4"/>
      <c r="I4" s="3"/>
      <c r="J4" s="43"/>
      <c r="K4" s="2"/>
      <c r="L4" s="3"/>
      <c r="M4" s="190"/>
      <c r="N4" s="190"/>
      <c r="O4" s="3"/>
      <c r="P4" s="3"/>
      <c r="Q4"/>
      <c r="R4" s="3"/>
      <c r="S4" s="3" t="s">
        <v>111</v>
      </c>
      <c r="T4" s="3"/>
      <c r="U4" s="43"/>
      <c r="V4" s="2"/>
      <c r="W4" s="3"/>
      <c r="X4" s="74"/>
      <c r="Y4" s="74"/>
      <c r="Z4" s="74"/>
      <c r="AA4" s="74"/>
      <c r="AB4" s="74"/>
      <c r="AC4" s="74"/>
    </row>
    <row r="5" spans="1:33" s="16" customFormat="1" ht="15" customHeight="1">
      <c r="A5" s="100" t="s">
        <v>74</v>
      </c>
      <c r="B5" s="18"/>
      <c r="C5" s="18"/>
      <c r="D5" s="18"/>
      <c r="E5" s="19"/>
      <c r="F5" s="19"/>
      <c r="G5" s="18"/>
      <c r="H5" s="3"/>
      <c r="I5" s="3"/>
      <c r="J5" s="3"/>
      <c r="K5" s="3"/>
      <c r="L5" s="3"/>
      <c r="M5" s="33"/>
      <c r="N5" s="33"/>
      <c r="O5" s="74"/>
      <c r="P5" s="74"/>
      <c r="Q5" s="74"/>
      <c r="R5" s="74"/>
      <c r="S5" s="74"/>
      <c r="T5" s="74"/>
      <c r="U5" s="3"/>
      <c r="V5" s="3"/>
    </row>
    <row r="6" spans="1:33" s="16" customFormat="1" ht="15" customHeight="1">
      <c r="A6" s="100" t="s">
        <v>73</v>
      </c>
      <c r="B6" s="18"/>
      <c r="C6" s="18"/>
      <c r="D6" s="18"/>
      <c r="E6" s="19"/>
      <c r="F6" s="19"/>
      <c r="G6" s="18"/>
      <c r="H6" s="5"/>
      <c r="I6" s="20"/>
      <c r="J6" s="18"/>
      <c r="K6" s="18"/>
      <c r="L6" s="18"/>
      <c r="M6" s="18"/>
      <c r="N6" s="18"/>
      <c r="Q6" s="83"/>
    </row>
    <row r="7" spans="1:33" s="16" customFormat="1" ht="15" customHeight="1">
      <c r="A7" s="24"/>
      <c r="B7" s="18"/>
      <c r="C7" s="18"/>
      <c r="D7" s="18"/>
      <c r="E7" s="19"/>
      <c r="F7" s="19"/>
      <c r="G7" s="18"/>
      <c r="H7" s="83"/>
      <c r="I7" s="83"/>
      <c r="J7" s="83"/>
      <c r="K7" s="83"/>
      <c r="L7" s="83"/>
      <c r="M7" s="83" t="s">
        <v>43</v>
      </c>
      <c r="N7" s="83"/>
      <c r="Q7" s="83"/>
    </row>
    <row r="8" spans="1:33" s="84" customFormat="1" ht="15" customHeight="1">
      <c r="A8" s="185" t="s">
        <v>161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</row>
    <row r="9" spans="1:33" s="16" customFormat="1" ht="8.25" customHeight="1">
      <c r="A9" s="24"/>
      <c r="B9" s="2"/>
      <c r="C9" s="18"/>
      <c r="D9" s="18"/>
      <c r="E9" s="19"/>
      <c r="F9" s="19"/>
      <c r="G9" s="18"/>
      <c r="H9" s="18"/>
      <c r="I9" s="18"/>
      <c r="J9" s="18"/>
      <c r="K9" s="18"/>
      <c r="L9" s="18"/>
      <c r="M9" s="18"/>
      <c r="N9" s="18"/>
    </row>
    <row r="10" spans="1:33" s="16" customFormat="1" ht="21" customHeight="1">
      <c r="A10" s="186" t="s">
        <v>24</v>
      </c>
      <c r="B10" s="188" t="s">
        <v>34</v>
      </c>
      <c r="C10" s="189" t="s">
        <v>35</v>
      </c>
      <c r="D10" s="189"/>
      <c r="E10" s="181" t="s">
        <v>0</v>
      </c>
      <c r="F10" s="181"/>
      <c r="G10" s="181" t="s">
        <v>36</v>
      </c>
      <c r="H10" s="181"/>
      <c r="I10" s="181"/>
      <c r="J10" s="181"/>
      <c r="K10" s="181"/>
      <c r="L10" s="181"/>
      <c r="M10" s="189" t="s">
        <v>37</v>
      </c>
      <c r="N10" s="189"/>
      <c r="O10" s="163" t="s">
        <v>38</v>
      </c>
      <c r="P10" s="163"/>
      <c r="Q10" s="163"/>
      <c r="R10" s="163"/>
      <c r="S10" s="163"/>
      <c r="T10" s="163"/>
      <c r="U10" s="182" t="s">
        <v>39</v>
      </c>
      <c r="V10" s="182"/>
      <c r="W10" s="182"/>
      <c r="X10" s="182"/>
      <c r="Z10" s="51"/>
      <c r="AA10" s="51"/>
      <c r="AB10" s="51"/>
      <c r="AC10" s="51"/>
      <c r="AD10" s="51"/>
      <c r="AE10" s="51"/>
    </row>
    <row r="11" spans="1:33" s="16" customFormat="1" ht="15" customHeight="1">
      <c r="A11" s="187"/>
      <c r="B11" s="188"/>
      <c r="C11" s="189"/>
      <c r="D11" s="189"/>
      <c r="E11" s="181"/>
      <c r="F11" s="181"/>
      <c r="G11" s="180" t="s">
        <v>1</v>
      </c>
      <c r="H11" s="180"/>
      <c r="I11" s="180" t="s">
        <v>2</v>
      </c>
      <c r="J11" s="180"/>
      <c r="K11" s="180" t="s">
        <v>3</v>
      </c>
      <c r="L11" s="180"/>
      <c r="M11" s="189"/>
      <c r="N11" s="189"/>
      <c r="O11" s="162" t="s">
        <v>68</v>
      </c>
      <c r="P11" s="162"/>
      <c r="Q11" s="162" t="s">
        <v>47</v>
      </c>
      <c r="R11" s="162"/>
      <c r="S11" s="162" t="s">
        <v>40</v>
      </c>
      <c r="T11" s="162"/>
      <c r="U11" s="162" t="s">
        <v>41</v>
      </c>
      <c r="V11" s="162"/>
      <c r="W11" s="162" t="s">
        <v>42</v>
      </c>
      <c r="X11" s="162"/>
      <c r="Z11" s="51"/>
      <c r="AA11" s="51"/>
      <c r="AB11" s="51"/>
      <c r="AC11" s="51"/>
      <c r="AD11" s="51"/>
      <c r="AE11" s="51"/>
    </row>
    <row r="12" spans="1:33" s="16" customFormat="1" ht="15" customHeight="1">
      <c r="A12" s="21" t="s">
        <v>24</v>
      </c>
      <c r="B12" s="86" t="s">
        <v>162</v>
      </c>
      <c r="C12" s="85" t="s">
        <v>21</v>
      </c>
      <c r="D12" s="85" t="s">
        <v>22</v>
      </c>
      <c r="E12" s="85" t="s">
        <v>21</v>
      </c>
      <c r="F12" s="85" t="s">
        <v>22</v>
      </c>
      <c r="G12" s="85" t="s">
        <v>21</v>
      </c>
      <c r="H12" s="85" t="s">
        <v>22</v>
      </c>
      <c r="I12" s="85" t="s">
        <v>21</v>
      </c>
      <c r="J12" s="85" t="s">
        <v>22</v>
      </c>
      <c r="K12" s="85" t="s">
        <v>21</v>
      </c>
      <c r="L12" s="85" t="s">
        <v>22</v>
      </c>
      <c r="M12" s="85" t="s">
        <v>21</v>
      </c>
      <c r="N12" s="85" t="s">
        <v>22</v>
      </c>
      <c r="O12" s="85" t="s">
        <v>21</v>
      </c>
      <c r="P12" s="85" t="s">
        <v>22</v>
      </c>
      <c r="Q12" s="85" t="s">
        <v>21</v>
      </c>
      <c r="R12" s="85" t="s">
        <v>22</v>
      </c>
      <c r="S12" s="85" t="s">
        <v>21</v>
      </c>
      <c r="T12" s="85" t="s">
        <v>22</v>
      </c>
      <c r="U12" s="85" t="s">
        <v>21</v>
      </c>
      <c r="V12" s="85" t="s">
        <v>22</v>
      </c>
      <c r="W12" s="85" t="s">
        <v>21</v>
      </c>
      <c r="X12" s="85" t="s">
        <v>22</v>
      </c>
      <c r="Z12" s="51"/>
      <c r="AA12" s="51"/>
      <c r="AB12" s="51"/>
      <c r="AC12" s="51"/>
      <c r="AD12" s="51"/>
      <c r="AE12" s="51"/>
    </row>
    <row r="13" spans="1:33" ht="15" customHeight="1">
      <c r="A13" s="22"/>
      <c r="B13" s="87" t="s">
        <v>4</v>
      </c>
      <c r="C13" s="88"/>
      <c r="D13" s="88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7"/>
      <c r="R13" s="47"/>
      <c r="S13" s="47"/>
      <c r="T13" s="47"/>
      <c r="U13" s="47"/>
      <c r="V13" s="47"/>
      <c r="W13" s="47"/>
      <c r="X13" s="47"/>
      <c r="Z13" s="48"/>
      <c r="AA13" s="48"/>
      <c r="AB13" s="48"/>
      <c r="AC13" s="48"/>
      <c r="AD13" s="48"/>
      <c r="AE13" s="48"/>
    </row>
    <row r="14" spans="1:33" s="7" customFormat="1" ht="15" customHeight="1">
      <c r="A14" s="127" t="s">
        <v>65</v>
      </c>
      <c r="B14" s="23" t="s">
        <v>169</v>
      </c>
      <c r="C14" s="38" t="s">
        <v>170</v>
      </c>
      <c r="D14" s="38" t="s">
        <v>170</v>
      </c>
      <c r="E14" s="28">
        <v>6.68</v>
      </c>
      <c r="F14" s="28">
        <v>6.68</v>
      </c>
      <c r="G14" s="28">
        <v>2.93</v>
      </c>
      <c r="H14" s="29">
        <v>2.93</v>
      </c>
      <c r="I14" s="28">
        <v>6.05</v>
      </c>
      <c r="J14" s="29">
        <v>6.05</v>
      </c>
      <c r="K14" s="28">
        <v>10.4</v>
      </c>
      <c r="L14" s="29">
        <v>10.4</v>
      </c>
      <c r="M14" s="28">
        <v>107.77</v>
      </c>
      <c r="N14" s="29">
        <v>107.77</v>
      </c>
      <c r="O14" s="29">
        <v>0.08</v>
      </c>
      <c r="P14" s="29">
        <f>O14*40/60</f>
        <v>5.3333333333333337E-2</v>
      </c>
      <c r="Q14" s="29">
        <v>0.06</v>
      </c>
      <c r="R14" s="29">
        <f>Q14*40/60</f>
        <v>0.04</v>
      </c>
      <c r="S14" s="28">
        <v>0.14000000000000001</v>
      </c>
      <c r="T14" s="29">
        <v>0.14000000000000001</v>
      </c>
      <c r="U14" s="37">
        <v>13.6</v>
      </c>
      <c r="V14" s="42">
        <v>8.6</v>
      </c>
      <c r="W14" s="37">
        <v>0.81</v>
      </c>
      <c r="X14" s="42">
        <v>0.49</v>
      </c>
      <c r="Y14" s="71"/>
      <c r="Z14" s="71"/>
      <c r="AA14" s="71"/>
      <c r="AB14" s="71"/>
      <c r="AC14" s="71"/>
      <c r="AD14" s="71"/>
    </row>
    <row r="15" spans="1:33" s="8" customFormat="1" ht="15" customHeight="1">
      <c r="A15" s="128" t="s">
        <v>28</v>
      </c>
      <c r="B15" s="62" t="s">
        <v>112</v>
      </c>
      <c r="C15" s="103">
        <v>200</v>
      </c>
      <c r="D15" s="103">
        <v>150</v>
      </c>
      <c r="E15" s="56">
        <v>4.33</v>
      </c>
      <c r="F15" s="56">
        <v>3.25</v>
      </c>
      <c r="G15" s="56">
        <v>4.2</v>
      </c>
      <c r="H15" s="57">
        <v>3.15</v>
      </c>
      <c r="I15" s="56">
        <v>8</v>
      </c>
      <c r="J15" s="57">
        <v>6</v>
      </c>
      <c r="K15" s="56">
        <v>28.4</v>
      </c>
      <c r="L15" s="57">
        <f>K15*150/200</f>
        <v>21.3</v>
      </c>
      <c r="M15" s="56">
        <v>202.4</v>
      </c>
      <c r="N15" s="57">
        <v>151.80000000000001</v>
      </c>
      <c r="O15" s="61">
        <v>0.03</v>
      </c>
      <c r="P15" s="57">
        <f>O15*125/150</f>
        <v>2.5000000000000001E-2</v>
      </c>
      <c r="Q15" s="61">
        <v>0.02</v>
      </c>
      <c r="R15" s="57">
        <f>Q15*125/150</f>
        <v>1.6666666666666666E-2</v>
      </c>
      <c r="S15" s="61">
        <v>0</v>
      </c>
      <c r="T15" s="57">
        <f>S15*125/150</f>
        <v>0</v>
      </c>
      <c r="U15" s="61">
        <v>13.28</v>
      </c>
      <c r="V15" s="57">
        <f>U15*125/150</f>
        <v>11.066666666666666</v>
      </c>
      <c r="W15" s="61">
        <v>1.07</v>
      </c>
      <c r="X15" s="65">
        <f>W15*125/150</f>
        <v>0.89166666666666672</v>
      </c>
      <c r="Y15" s="110"/>
      <c r="Z15" s="104"/>
      <c r="AA15" s="104"/>
      <c r="AB15" s="104"/>
      <c r="AC15" s="104"/>
      <c r="AD15" s="104"/>
      <c r="AE15" s="104"/>
      <c r="AF15" s="104"/>
      <c r="AG15" s="104"/>
    </row>
    <row r="16" spans="1:33" ht="15" customHeight="1">
      <c r="A16" s="128" t="s">
        <v>49</v>
      </c>
      <c r="B16" s="59" t="s">
        <v>26</v>
      </c>
      <c r="C16" s="60" t="s">
        <v>5</v>
      </c>
      <c r="D16" s="60" t="s">
        <v>6</v>
      </c>
      <c r="E16" s="56">
        <v>1.89</v>
      </c>
      <c r="F16" s="56">
        <v>1.42</v>
      </c>
      <c r="G16" s="35">
        <v>0</v>
      </c>
      <c r="H16" s="39">
        <v>0</v>
      </c>
      <c r="I16" s="35">
        <v>0</v>
      </c>
      <c r="J16" s="39">
        <f>I16*150/200</f>
        <v>0</v>
      </c>
      <c r="K16" s="35">
        <v>30.6</v>
      </c>
      <c r="L16" s="39">
        <f>K16*150/200</f>
        <v>22.95</v>
      </c>
      <c r="M16" s="35">
        <v>118</v>
      </c>
      <c r="N16" s="39">
        <v>88.5</v>
      </c>
      <c r="O16" s="37">
        <v>0</v>
      </c>
      <c r="P16" s="39">
        <f>O16*150/200</f>
        <v>0</v>
      </c>
      <c r="Q16" s="37">
        <v>0</v>
      </c>
      <c r="R16" s="39">
        <f>Q16*150/200</f>
        <v>0</v>
      </c>
      <c r="S16" s="37">
        <v>0</v>
      </c>
      <c r="T16" s="39">
        <f>S16*150/200</f>
        <v>0</v>
      </c>
      <c r="U16" s="61">
        <f>V16*200/150</f>
        <v>0.2</v>
      </c>
      <c r="V16" s="63">
        <v>0.15</v>
      </c>
      <c r="W16" s="61">
        <f>X16*200/150</f>
        <v>2.6666666666666668E-2</v>
      </c>
      <c r="X16" s="101">
        <v>0.02</v>
      </c>
      <c r="Y16" s="48"/>
      <c r="Z16" s="48"/>
      <c r="AA16" s="48"/>
      <c r="AB16" s="48"/>
      <c r="AC16" s="48"/>
      <c r="AD16" s="48"/>
      <c r="AE16" s="48"/>
    </row>
    <row r="17" spans="1:32" ht="15" customHeight="1">
      <c r="A17" s="22"/>
      <c r="B17" s="23" t="s">
        <v>7</v>
      </c>
      <c r="C17" s="38"/>
      <c r="D17" s="38"/>
      <c r="E17" s="17">
        <f>SUM(E14:E16)</f>
        <v>12.9</v>
      </c>
      <c r="F17" s="17">
        <f>SUM(F14:F16)</f>
        <v>11.35</v>
      </c>
      <c r="G17" s="17">
        <f t="shared" ref="G17:T17" si="0">SUM(G14:G16)</f>
        <v>7.1300000000000008</v>
      </c>
      <c r="H17" s="17">
        <f t="shared" si="0"/>
        <v>6.08</v>
      </c>
      <c r="I17" s="17">
        <f t="shared" si="0"/>
        <v>14.05</v>
      </c>
      <c r="J17" s="17">
        <f t="shared" si="0"/>
        <v>12.05</v>
      </c>
      <c r="K17" s="17">
        <f t="shared" si="0"/>
        <v>69.400000000000006</v>
      </c>
      <c r="L17" s="17">
        <f t="shared" si="0"/>
        <v>54.650000000000006</v>
      </c>
      <c r="M17" s="17">
        <f t="shared" si="0"/>
        <v>428.17</v>
      </c>
      <c r="N17" s="17">
        <f t="shared" si="0"/>
        <v>348.07</v>
      </c>
      <c r="O17" s="17">
        <f t="shared" si="0"/>
        <v>0.11</v>
      </c>
      <c r="P17" s="17">
        <f t="shared" si="0"/>
        <v>7.8333333333333338E-2</v>
      </c>
      <c r="Q17" s="17">
        <f t="shared" si="0"/>
        <v>0.08</v>
      </c>
      <c r="R17" s="17">
        <f t="shared" si="0"/>
        <v>5.6666666666666671E-2</v>
      </c>
      <c r="S17" s="17">
        <f t="shared" si="0"/>
        <v>0.14000000000000001</v>
      </c>
      <c r="T17" s="17">
        <f t="shared" si="0"/>
        <v>0.14000000000000001</v>
      </c>
      <c r="U17" s="17">
        <f>SUM(U14:U16)</f>
        <v>27.08</v>
      </c>
      <c r="V17" s="17">
        <f>SUM(V14:V16)</f>
        <v>19.816666666666663</v>
      </c>
      <c r="W17" s="17">
        <f>SUM(W14:W16)</f>
        <v>1.9066666666666667</v>
      </c>
      <c r="X17" s="17">
        <f>SUM(X14:X16)</f>
        <v>1.4016666666666668</v>
      </c>
      <c r="Y17" s="67">
        <f>SUM(Y14:Y16)</f>
        <v>0</v>
      </c>
      <c r="Z17" s="53"/>
      <c r="AA17" s="53"/>
      <c r="AB17" s="53"/>
      <c r="AC17" s="53"/>
      <c r="AD17" s="48"/>
      <c r="AE17" s="48"/>
    </row>
    <row r="18" spans="1:32" ht="15" customHeight="1">
      <c r="A18" s="22"/>
      <c r="B18" s="87" t="s">
        <v>8</v>
      </c>
      <c r="C18" s="38"/>
      <c r="D18" s="38"/>
      <c r="E18" s="28"/>
      <c r="F18" s="28"/>
      <c r="G18" s="28"/>
      <c r="H18" s="29"/>
      <c r="I18" s="29"/>
      <c r="J18" s="29"/>
      <c r="K18" s="29"/>
      <c r="L18" s="29"/>
      <c r="M18" s="29"/>
      <c r="N18" s="29"/>
      <c r="O18" s="36"/>
      <c r="P18" s="41"/>
      <c r="Q18" s="41"/>
      <c r="R18" s="41"/>
      <c r="S18" s="41"/>
      <c r="T18" s="41"/>
      <c r="U18" s="41"/>
      <c r="V18" s="41"/>
      <c r="W18" s="41"/>
      <c r="X18" s="68"/>
      <c r="Y18" s="49"/>
      <c r="Z18" s="48"/>
      <c r="AA18" s="48"/>
      <c r="AB18" s="48"/>
      <c r="AC18" s="48"/>
      <c r="AD18" s="48"/>
      <c r="AE18" s="48"/>
    </row>
    <row r="19" spans="1:32" s="1" customFormat="1" ht="15" customHeight="1">
      <c r="A19" s="128" t="s">
        <v>52</v>
      </c>
      <c r="B19" s="59" t="s">
        <v>59</v>
      </c>
      <c r="C19" s="60" t="s">
        <v>114</v>
      </c>
      <c r="D19" s="60" t="s">
        <v>114</v>
      </c>
      <c r="E19" s="56">
        <v>4.8</v>
      </c>
      <c r="F19" s="56">
        <v>4.8</v>
      </c>
      <c r="G19" s="61">
        <v>0</v>
      </c>
      <c r="H19" s="63">
        <v>0</v>
      </c>
      <c r="I19" s="61">
        <f>J19*180/150</f>
        <v>0</v>
      </c>
      <c r="J19" s="63">
        <v>0</v>
      </c>
      <c r="K19" s="61">
        <v>10.199999999999999</v>
      </c>
      <c r="L19" s="63">
        <v>10.199999999999999</v>
      </c>
      <c r="M19" s="61">
        <v>40.799999999999997</v>
      </c>
      <c r="N19" s="63">
        <v>40.799999999999997</v>
      </c>
      <c r="O19" s="61">
        <f>P19*180/150</f>
        <v>0</v>
      </c>
      <c r="P19" s="63">
        <v>0</v>
      </c>
      <c r="Q19" s="61">
        <f>R19*180/150</f>
        <v>2.4E-2</v>
      </c>
      <c r="R19" s="63">
        <v>0.02</v>
      </c>
      <c r="S19" s="61">
        <v>3.4</v>
      </c>
      <c r="T19" s="63">
        <v>3.4</v>
      </c>
      <c r="U19" s="61">
        <f>V19*180/150</f>
        <v>9.9960000000000004</v>
      </c>
      <c r="V19" s="63">
        <v>8.33</v>
      </c>
      <c r="W19" s="61">
        <f>X19*180/150</f>
        <v>0.252</v>
      </c>
      <c r="X19" s="101">
        <v>0.21</v>
      </c>
      <c r="Y19" s="52"/>
      <c r="Z19" s="52"/>
      <c r="AA19" s="52"/>
      <c r="AB19" s="52"/>
      <c r="AC19" s="52"/>
      <c r="AD19" s="52"/>
      <c r="AE19" s="52"/>
    </row>
    <row r="20" spans="1:32" ht="15" customHeight="1">
      <c r="A20" s="22"/>
      <c r="B20" s="23" t="s">
        <v>7</v>
      </c>
      <c r="C20" s="38"/>
      <c r="D20" s="38"/>
      <c r="E20" s="17">
        <f>SUM(E19)</f>
        <v>4.8</v>
      </c>
      <c r="F20" s="17">
        <f>SUM(F19)</f>
        <v>4.8</v>
      </c>
      <c r="G20" s="17">
        <f t="shared" ref="G20:T20" si="1">SUM(G19)</f>
        <v>0</v>
      </c>
      <c r="H20" s="17">
        <f t="shared" si="1"/>
        <v>0</v>
      </c>
      <c r="I20" s="17">
        <f t="shared" si="1"/>
        <v>0</v>
      </c>
      <c r="J20" s="17">
        <f t="shared" si="1"/>
        <v>0</v>
      </c>
      <c r="K20" s="17">
        <f t="shared" si="1"/>
        <v>10.199999999999999</v>
      </c>
      <c r="L20" s="17">
        <f t="shared" si="1"/>
        <v>10.199999999999999</v>
      </c>
      <c r="M20" s="17">
        <f t="shared" si="1"/>
        <v>40.799999999999997</v>
      </c>
      <c r="N20" s="17">
        <f t="shared" si="1"/>
        <v>40.799999999999997</v>
      </c>
      <c r="O20" s="17">
        <f t="shared" si="1"/>
        <v>0</v>
      </c>
      <c r="P20" s="17">
        <f t="shared" si="1"/>
        <v>0</v>
      </c>
      <c r="Q20" s="17">
        <f t="shared" si="1"/>
        <v>2.4E-2</v>
      </c>
      <c r="R20" s="17">
        <f t="shared" si="1"/>
        <v>0.02</v>
      </c>
      <c r="S20" s="17">
        <f t="shared" si="1"/>
        <v>3.4</v>
      </c>
      <c r="T20" s="17">
        <f t="shared" si="1"/>
        <v>3.4</v>
      </c>
      <c r="U20" s="17">
        <f>SUM(U19)</f>
        <v>9.9960000000000004</v>
      </c>
      <c r="V20" s="17">
        <f>SUM(V19)</f>
        <v>8.33</v>
      </c>
      <c r="W20" s="17">
        <f>SUM(W19)</f>
        <v>0.252</v>
      </c>
      <c r="X20" s="17">
        <f>SUM(X19)</f>
        <v>0.21</v>
      </c>
      <c r="Y20" s="67">
        <f>SUM(Y19)</f>
        <v>0</v>
      </c>
      <c r="Z20" s="53"/>
      <c r="AA20" s="53"/>
      <c r="AB20" s="53"/>
      <c r="AC20" s="53"/>
      <c r="AD20" s="48"/>
      <c r="AE20" s="48"/>
    </row>
    <row r="21" spans="1:32" ht="15" customHeight="1">
      <c r="A21" s="22"/>
      <c r="B21" s="87" t="s">
        <v>9</v>
      </c>
      <c r="C21" s="38"/>
      <c r="D21" s="38"/>
      <c r="E21" s="28"/>
      <c r="F21" s="28"/>
      <c r="G21" s="28"/>
      <c r="H21" s="29"/>
      <c r="I21" s="29"/>
      <c r="J21" s="29"/>
      <c r="K21" s="29"/>
      <c r="L21" s="29"/>
      <c r="M21" s="29"/>
      <c r="N21" s="29"/>
      <c r="O21" s="36"/>
      <c r="P21" s="41"/>
      <c r="Q21" s="41"/>
      <c r="R21" s="41"/>
      <c r="S21" s="41"/>
      <c r="T21" s="41"/>
      <c r="U21" s="41"/>
      <c r="V21" s="41"/>
      <c r="W21" s="41"/>
      <c r="X21" s="68"/>
      <c r="Y21" s="49"/>
      <c r="Z21" s="48"/>
      <c r="AA21" s="48"/>
      <c r="AB21" s="48"/>
      <c r="AC21" s="48"/>
      <c r="AD21" s="48"/>
      <c r="AE21" s="48"/>
    </row>
    <row r="22" spans="1:32" ht="15" customHeight="1">
      <c r="A22" s="128" t="s">
        <v>153</v>
      </c>
      <c r="B22" s="59" t="s">
        <v>154</v>
      </c>
      <c r="C22" s="60" t="s">
        <v>102</v>
      </c>
      <c r="D22" s="60" t="s">
        <v>118</v>
      </c>
      <c r="E22" s="56">
        <v>3.04</v>
      </c>
      <c r="F22" s="56">
        <v>2.74</v>
      </c>
      <c r="G22" s="56">
        <v>0.4</v>
      </c>
      <c r="H22" s="57">
        <f>G22*45/50</f>
        <v>0.36</v>
      </c>
      <c r="I22" s="56">
        <v>5</v>
      </c>
      <c r="J22" s="57">
        <f>I22*45/50</f>
        <v>4.5</v>
      </c>
      <c r="K22" s="56">
        <v>4.8</v>
      </c>
      <c r="L22" s="57">
        <f>K22*45/50</f>
        <v>4.32</v>
      </c>
      <c r="M22" s="56">
        <v>65.8</v>
      </c>
      <c r="N22" s="57">
        <f>M22*45/50</f>
        <v>59.22</v>
      </c>
      <c r="O22" s="56">
        <v>0.04</v>
      </c>
      <c r="P22" s="57">
        <f>O22*45/60</f>
        <v>3.0000000000000002E-2</v>
      </c>
      <c r="Q22" s="56">
        <v>0.01</v>
      </c>
      <c r="R22" s="57">
        <f>Q22*45/60</f>
        <v>7.5000000000000006E-3</v>
      </c>
      <c r="S22" s="56">
        <v>2.5499999999999998</v>
      </c>
      <c r="T22" s="57">
        <f>S22*45/50</f>
        <v>2.2949999999999999</v>
      </c>
      <c r="U22" s="57">
        <v>13.18</v>
      </c>
      <c r="V22" s="57">
        <f>U22*45/60</f>
        <v>9.8849999999999998</v>
      </c>
      <c r="W22" s="57">
        <v>0.62</v>
      </c>
      <c r="X22" s="57">
        <f>W22*45/60</f>
        <v>0.46499999999999997</v>
      </c>
      <c r="Z22" s="48"/>
      <c r="AA22" s="48"/>
      <c r="AB22" s="48"/>
    </row>
    <row r="23" spans="1:32" ht="18" customHeight="1">
      <c r="A23" s="128" t="s">
        <v>155</v>
      </c>
      <c r="B23" s="153" t="s">
        <v>156</v>
      </c>
      <c r="C23" s="103">
        <v>200</v>
      </c>
      <c r="D23" s="103">
        <v>150</v>
      </c>
      <c r="E23" s="56">
        <v>4.45</v>
      </c>
      <c r="F23" s="56">
        <v>3.34</v>
      </c>
      <c r="G23" s="61">
        <v>1.98</v>
      </c>
      <c r="H23" s="61">
        <v>1.48</v>
      </c>
      <c r="I23" s="61">
        <v>2.42</v>
      </c>
      <c r="J23" s="61">
        <v>1.81</v>
      </c>
      <c r="K23" s="61">
        <v>13.68</v>
      </c>
      <c r="L23" s="61">
        <v>10.26</v>
      </c>
      <c r="M23" s="61">
        <v>84.42</v>
      </c>
      <c r="N23" s="112">
        <v>63.25</v>
      </c>
      <c r="O23" s="154">
        <v>0.11</v>
      </c>
      <c r="P23" s="154">
        <v>0.09</v>
      </c>
      <c r="Q23" s="154">
        <v>0.05</v>
      </c>
      <c r="R23" s="154">
        <v>0.04</v>
      </c>
      <c r="S23" s="154">
        <v>6.6</v>
      </c>
      <c r="T23" s="113">
        <v>4.9000000000000004</v>
      </c>
      <c r="U23" s="29">
        <v>20.260000000000002</v>
      </c>
      <c r="V23" s="29">
        <v>19.079999999999998</v>
      </c>
      <c r="W23" s="29">
        <v>1</v>
      </c>
      <c r="X23" s="29">
        <v>0.97</v>
      </c>
      <c r="Y23" s="49"/>
      <c r="Z23" s="48"/>
      <c r="AA23" s="48"/>
      <c r="AB23" s="48"/>
      <c r="AC23" s="48"/>
      <c r="AD23" s="48"/>
      <c r="AE23" s="48"/>
    </row>
    <row r="24" spans="1:32" ht="15" customHeight="1">
      <c r="A24" s="127" t="s">
        <v>93</v>
      </c>
      <c r="B24" s="23" t="s">
        <v>94</v>
      </c>
      <c r="C24" s="38" t="s">
        <v>76</v>
      </c>
      <c r="D24" s="38" t="s">
        <v>76</v>
      </c>
      <c r="E24" s="28">
        <v>38.9</v>
      </c>
      <c r="F24" s="28">
        <v>38.9</v>
      </c>
      <c r="G24" s="28">
        <v>12.14</v>
      </c>
      <c r="H24" s="29">
        <v>12.14</v>
      </c>
      <c r="I24" s="28">
        <v>8.9600000000000009</v>
      </c>
      <c r="J24" s="29">
        <v>8.9600000000000009</v>
      </c>
      <c r="K24" s="28">
        <v>9.4</v>
      </c>
      <c r="L24" s="29">
        <v>9.4</v>
      </c>
      <c r="M24" s="28">
        <v>166.8</v>
      </c>
      <c r="N24" s="29">
        <v>166.8</v>
      </c>
      <c r="O24" s="29">
        <v>0.2</v>
      </c>
      <c r="P24" s="29">
        <v>0.15</v>
      </c>
      <c r="Q24" s="29">
        <v>0.18</v>
      </c>
      <c r="R24" s="29">
        <v>0.11</v>
      </c>
      <c r="S24" s="29">
        <v>24.5</v>
      </c>
      <c r="T24" s="29">
        <v>24.5</v>
      </c>
      <c r="U24" s="29">
        <v>116.61</v>
      </c>
      <c r="V24" s="29">
        <v>91.87</v>
      </c>
      <c r="W24" s="29">
        <v>4.5</v>
      </c>
      <c r="X24" s="29">
        <v>3.19</v>
      </c>
    </row>
    <row r="25" spans="1:32" ht="29.25" customHeight="1">
      <c r="A25" s="129" t="s">
        <v>105</v>
      </c>
      <c r="B25" s="107" t="s">
        <v>98</v>
      </c>
      <c r="C25" s="103">
        <v>200</v>
      </c>
      <c r="D25" s="103">
        <v>150</v>
      </c>
      <c r="E25" s="56">
        <v>1.62</v>
      </c>
      <c r="F25" s="56">
        <v>1.22</v>
      </c>
      <c r="G25" s="56">
        <v>0.6</v>
      </c>
      <c r="H25" s="57">
        <f>G25*150/200</f>
        <v>0.45</v>
      </c>
      <c r="I25" s="56">
        <v>0</v>
      </c>
      <c r="J25" s="57">
        <f>I25*150/200</f>
        <v>0</v>
      </c>
      <c r="K25" s="56">
        <v>31.4</v>
      </c>
      <c r="L25" s="57">
        <f>K25*150/200</f>
        <v>23.55</v>
      </c>
      <c r="M25" s="56">
        <v>124</v>
      </c>
      <c r="N25" s="57">
        <f>M25*150/200</f>
        <v>93</v>
      </c>
      <c r="O25" s="57">
        <v>0.02</v>
      </c>
      <c r="P25" s="57">
        <f>O25*150/200</f>
        <v>1.4999999999999999E-2</v>
      </c>
      <c r="Q25" s="57">
        <v>0.03</v>
      </c>
      <c r="R25" s="57">
        <f>Q25*150/200</f>
        <v>2.2499999999999999E-2</v>
      </c>
      <c r="S25" s="57">
        <v>0.45</v>
      </c>
      <c r="T25" s="57">
        <f>S25*150/200</f>
        <v>0.33750000000000002</v>
      </c>
      <c r="U25" s="57">
        <v>12.3</v>
      </c>
      <c r="V25" s="57">
        <f>U25*150/200</f>
        <v>9.2249999999999996</v>
      </c>
      <c r="W25" s="65">
        <v>2</v>
      </c>
      <c r="X25" s="78">
        <f>W25*150/200</f>
        <v>1.5</v>
      </c>
      <c r="Y25" s="48"/>
      <c r="Z25" s="48"/>
      <c r="AA25" s="48"/>
      <c r="AB25" s="48"/>
      <c r="AC25" s="48"/>
      <c r="AD25" s="48"/>
      <c r="AE25" s="48"/>
    </row>
    <row r="26" spans="1:32" s="16" customFormat="1" ht="15" customHeight="1">
      <c r="A26" s="127"/>
      <c r="B26" s="23" t="s">
        <v>11</v>
      </c>
      <c r="C26" s="38" t="s">
        <v>14</v>
      </c>
      <c r="D26" s="38" t="s">
        <v>14</v>
      </c>
      <c r="E26" s="28">
        <v>1.1100000000000001</v>
      </c>
      <c r="F26" s="28">
        <v>1.1100000000000001</v>
      </c>
      <c r="G26" s="28">
        <v>1.6</v>
      </c>
      <c r="H26" s="28">
        <v>1.6</v>
      </c>
      <c r="I26" s="28">
        <v>0.4</v>
      </c>
      <c r="J26" s="28">
        <v>0.4</v>
      </c>
      <c r="K26" s="28">
        <v>10</v>
      </c>
      <c r="L26" s="28">
        <v>10</v>
      </c>
      <c r="M26" s="29">
        <v>54</v>
      </c>
      <c r="N26" s="29">
        <v>54</v>
      </c>
      <c r="O26" s="37">
        <v>0.04</v>
      </c>
      <c r="P26" s="42">
        <v>0.04</v>
      </c>
      <c r="Q26" s="37">
        <v>0.02</v>
      </c>
      <c r="R26" s="42">
        <v>0.02</v>
      </c>
      <c r="S26" s="37">
        <v>0</v>
      </c>
      <c r="T26" s="42">
        <v>0</v>
      </c>
      <c r="U26" s="37">
        <v>7.4</v>
      </c>
      <c r="V26" s="42">
        <v>7.4</v>
      </c>
      <c r="W26" s="37">
        <v>0.56000000000000005</v>
      </c>
      <c r="X26" s="42">
        <v>0.56000000000000005</v>
      </c>
      <c r="Y26" s="51"/>
      <c r="Z26" s="51"/>
      <c r="AA26" s="51"/>
      <c r="AB26" s="51"/>
      <c r="AC26" s="51"/>
      <c r="AD26" s="51"/>
      <c r="AE26" s="51"/>
    </row>
    <row r="27" spans="1:32" ht="15" customHeight="1">
      <c r="A27" s="127"/>
      <c r="B27" s="23" t="s">
        <v>48</v>
      </c>
      <c r="C27" s="38" t="s">
        <v>79</v>
      </c>
      <c r="D27" s="38" t="s">
        <v>80</v>
      </c>
      <c r="E27" s="28">
        <v>2.09</v>
      </c>
      <c r="F27" s="28">
        <v>1.83</v>
      </c>
      <c r="G27" s="28">
        <v>3.25</v>
      </c>
      <c r="H27" s="29">
        <v>2.84</v>
      </c>
      <c r="I27" s="29">
        <v>0.46</v>
      </c>
      <c r="J27" s="29">
        <f>I27*40.6/46</f>
        <v>0.40600000000000003</v>
      </c>
      <c r="K27" s="29">
        <v>20.88</v>
      </c>
      <c r="L27" s="29">
        <v>18.27</v>
      </c>
      <c r="M27" s="29">
        <v>102.08</v>
      </c>
      <c r="N27" s="29">
        <v>89.32</v>
      </c>
      <c r="O27" s="35">
        <v>0.06</v>
      </c>
      <c r="P27" s="39">
        <v>0.04</v>
      </c>
      <c r="Q27" s="35">
        <v>0.04</v>
      </c>
      <c r="R27" s="39">
        <v>0.03</v>
      </c>
      <c r="S27" s="35">
        <v>0</v>
      </c>
      <c r="T27" s="29">
        <f>S27*40.6/46</f>
        <v>0</v>
      </c>
      <c r="U27" s="37">
        <v>17</v>
      </c>
      <c r="V27" s="42">
        <v>13.6</v>
      </c>
      <c r="W27" s="37">
        <v>1.1499999999999999</v>
      </c>
      <c r="X27" s="42">
        <v>0.92</v>
      </c>
      <c r="Y27" s="48"/>
      <c r="Z27" s="48"/>
      <c r="AA27" s="48"/>
      <c r="AB27" s="48"/>
      <c r="AC27" s="48"/>
      <c r="AD27" s="48"/>
      <c r="AE27" s="48"/>
    </row>
    <row r="28" spans="1:32" ht="15" customHeight="1">
      <c r="A28" s="22"/>
      <c r="B28" s="23" t="s">
        <v>7</v>
      </c>
      <c r="C28" s="38"/>
      <c r="D28" s="38"/>
      <c r="E28" s="17">
        <f>SUM(E22:E27)</f>
        <v>51.209999999999994</v>
      </c>
      <c r="F28" s="17">
        <f>SUM(F22:F27)</f>
        <v>49.139999999999993</v>
      </c>
      <c r="G28" s="17">
        <f>SUM(G22:G27)</f>
        <v>19.97</v>
      </c>
      <c r="H28" s="17">
        <f>SUM(H22:H27)</f>
        <v>18.87</v>
      </c>
      <c r="I28" s="17">
        <f>SUM(I22:I27)+2</f>
        <v>19.240000000000002</v>
      </c>
      <c r="J28" s="17">
        <f>SUM(J22:J27)+0</f>
        <v>16.076000000000001</v>
      </c>
      <c r="K28" s="17">
        <f>SUM(K22:K27)+22</f>
        <v>112.16</v>
      </c>
      <c r="L28" s="17">
        <f t="shared" ref="L28:X28" si="2">SUM(L22:L27)</f>
        <v>75.8</v>
      </c>
      <c r="M28" s="17">
        <f t="shared" si="2"/>
        <v>597.1</v>
      </c>
      <c r="N28" s="17">
        <f t="shared" si="2"/>
        <v>525.58999999999992</v>
      </c>
      <c r="O28" s="17">
        <f t="shared" si="2"/>
        <v>0.47</v>
      </c>
      <c r="P28" s="17">
        <f t="shared" si="2"/>
        <v>0.36499999999999999</v>
      </c>
      <c r="Q28" s="17">
        <f t="shared" si="2"/>
        <v>0.33</v>
      </c>
      <c r="R28" s="17">
        <f t="shared" si="2"/>
        <v>0.22999999999999998</v>
      </c>
      <c r="S28" s="17">
        <f t="shared" si="2"/>
        <v>34.1</v>
      </c>
      <c r="T28" s="17">
        <f t="shared" si="2"/>
        <v>32.032499999999999</v>
      </c>
      <c r="U28" s="17">
        <f t="shared" si="2"/>
        <v>186.75000000000003</v>
      </c>
      <c r="V28" s="17">
        <f t="shared" si="2"/>
        <v>151.06</v>
      </c>
      <c r="W28" s="17">
        <f t="shared" si="2"/>
        <v>9.8300000000000018</v>
      </c>
      <c r="X28" s="17">
        <f t="shared" si="2"/>
        <v>7.6050000000000004</v>
      </c>
      <c r="Y28" s="58"/>
      <c r="Z28" s="53"/>
      <c r="AA28" s="53"/>
      <c r="AB28" s="53"/>
      <c r="AC28" s="53"/>
      <c r="AD28" s="48"/>
      <c r="AE28" s="48"/>
    </row>
    <row r="29" spans="1:32" ht="15" customHeight="1">
      <c r="A29" s="22"/>
      <c r="B29" s="87" t="s">
        <v>12</v>
      </c>
      <c r="C29" s="38"/>
      <c r="D29" s="38"/>
      <c r="E29" s="28"/>
      <c r="F29" s="28"/>
      <c r="G29" s="28"/>
      <c r="H29" s="29"/>
      <c r="I29" s="29"/>
      <c r="J29" s="29"/>
      <c r="K29" s="29"/>
      <c r="L29" s="29"/>
      <c r="M29" s="29"/>
      <c r="N29" s="29"/>
      <c r="O29" s="36"/>
      <c r="P29" s="41"/>
      <c r="Q29" s="41"/>
      <c r="R29" s="41"/>
      <c r="S29" s="41"/>
      <c r="T29" s="41"/>
      <c r="U29" s="41"/>
      <c r="V29" s="41"/>
      <c r="W29" s="41"/>
      <c r="X29" s="68"/>
      <c r="Y29" s="49"/>
      <c r="Z29" s="48"/>
      <c r="AA29" s="48"/>
      <c r="AB29" s="48"/>
      <c r="AC29" s="48"/>
      <c r="AD29" s="48"/>
      <c r="AE29" s="48"/>
    </row>
    <row r="30" spans="1:32" ht="26.25" customHeight="1">
      <c r="A30" s="127" t="s">
        <v>23</v>
      </c>
      <c r="B30" s="23" t="s">
        <v>144</v>
      </c>
      <c r="C30" s="38" t="s">
        <v>145</v>
      </c>
      <c r="D30" s="38" t="s">
        <v>145</v>
      </c>
      <c r="E30" s="28">
        <v>11.8</v>
      </c>
      <c r="F30" s="28">
        <v>11.8</v>
      </c>
      <c r="G30" s="139">
        <v>6.75</v>
      </c>
      <c r="H30" s="29">
        <v>6.75</v>
      </c>
      <c r="I30" s="139">
        <v>7.02</v>
      </c>
      <c r="J30" s="29">
        <v>7.02</v>
      </c>
      <c r="K30" s="139">
        <v>21.15</v>
      </c>
      <c r="L30" s="29">
        <v>21.15</v>
      </c>
      <c r="M30" s="139">
        <v>174.78</v>
      </c>
      <c r="N30" s="29">
        <v>174.78</v>
      </c>
      <c r="O30" s="139">
        <v>0.1</v>
      </c>
      <c r="P30" s="29">
        <f>O30*215/230</f>
        <v>9.3478260869565219E-2</v>
      </c>
      <c r="Q30" s="139">
        <v>0.28999999999999998</v>
      </c>
      <c r="R30" s="29">
        <f>Q30*215/230</f>
        <v>0.27108695652173909</v>
      </c>
      <c r="S30" s="139">
        <v>2.46</v>
      </c>
      <c r="T30" s="29">
        <v>2.46</v>
      </c>
      <c r="U30" s="28">
        <v>275.74</v>
      </c>
      <c r="V30" s="29">
        <v>275.74</v>
      </c>
      <c r="W30" s="28">
        <v>0.23</v>
      </c>
      <c r="X30" s="69">
        <v>0.23</v>
      </c>
      <c r="Y30" s="54"/>
      <c r="Z30" s="52"/>
      <c r="AA30" s="52"/>
      <c r="AB30" s="52"/>
      <c r="AC30" s="52"/>
      <c r="AD30" s="1"/>
    </row>
    <row r="31" spans="1:32" ht="15" customHeight="1">
      <c r="A31" s="55"/>
      <c r="B31" s="59" t="s">
        <v>7</v>
      </c>
      <c r="C31" s="111"/>
      <c r="D31" s="111"/>
      <c r="E31" s="119">
        <f>SUM(E30)</f>
        <v>11.8</v>
      </c>
      <c r="F31" s="119">
        <f>SUM(F30)</f>
        <v>11.8</v>
      </c>
      <c r="G31" s="119">
        <f t="shared" ref="G31:T31" si="3">SUM(G30)</f>
        <v>6.75</v>
      </c>
      <c r="H31" s="119">
        <f t="shared" si="3"/>
        <v>6.75</v>
      </c>
      <c r="I31" s="119">
        <f t="shared" si="3"/>
        <v>7.02</v>
      </c>
      <c r="J31" s="119">
        <f t="shared" si="3"/>
        <v>7.02</v>
      </c>
      <c r="K31" s="119">
        <f t="shared" si="3"/>
        <v>21.15</v>
      </c>
      <c r="L31" s="119">
        <f t="shared" si="3"/>
        <v>21.15</v>
      </c>
      <c r="M31" s="119">
        <f t="shared" si="3"/>
        <v>174.78</v>
      </c>
      <c r="N31" s="119">
        <f t="shared" si="3"/>
        <v>174.78</v>
      </c>
      <c r="O31" s="119">
        <f t="shared" si="3"/>
        <v>0.1</v>
      </c>
      <c r="P31" s="119">
        <f t="shared" si="3"/>
        <v>9.3478260869565219E-2</v>
      </c>
      <c r="Q31" s="119">
        <f t="shared" si="3"/>
        <v>0.28999999999999998</v>
      </c>
      <c r="R31" s="119">
        <f t="shared" si="3"/>
        <v>0.27108695652173909</v>
      </c>
      <c r="S31" s="119">
        <f t="shared" si="3"/>
        <v>2.46</v>
      </c>
      <c r="T31" s="119">
        <f t="shared" si="3"/>
        <v>2.46</v>
      </c>
      <c r="U31" s="76">
        <f>SUM(U30:U30)</f>
        <v>275.74</v>
      </c>
      <c r="V31" s="76">
        <f>SUM(V30:V30)</f>
        <v>275.74</v>
      </c>
      <c r="W31" s="76">
        <f>SUM(W30:W30)</f>
        <v>0.23</v>
      </c>
      <c r="X31" s="120">
        <f>SUM(X30:X30)</f>
        <v>0.23</v>
      </c>
      <c r="Y31" s="53"/>
      <c r="Z31" s="53"/>
      <c r="AA31" s="53"/>
      <c r="AB31" s="53"/>
      <c r="AC31" s="53"/>
      <c r="AD31" s="48"/>
      <c r="AE31" s="48"/>
      <c r="AF31" s="48"/>
    </row>
    <row r="32" spans="1:32" ht="15" customHeight="1">
      <c r="A32" s="22"/>
      <c r="B32" s="87" t="s">
        <v>13</v>
      </c>
      <c r="C32" s="38"/>
      <c r="D32" s="38"/>
      <c r="E32" s="28"/>
      <c r="F32" s="28"/>
      <c r="G32" s="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69"/>
      <c r="Y32" s="54"/>
      <c r="Z32" s="52"/>
      <c r="AA32" s="52"/>
      <c r="AB32" s="52"/>
      <c r="AC32" s="52"/>
      <c r="AD32" s="52"/>
      <c r="AE32" s="48"/>
    </row>
    <row r="33" spans="1:33" ht="15" customHeight="1">
      <c r="A33" s="128"/>
      <c r="B33" s="59" t="s">
        <v>117</v>
      </c>
      <c r="C33" s="60" t="s">
        <v>174</v>
      </c>
      <c r="D33" s="60" t="s">
        <v>180</v>
      </c>
      <c r="E33" s="56">
        <v>12.45</v>
      </c>
      <c r="F33" s="56">
        <v>13.39</v>
      </c>
      <c r="G33" s="56">
        <v>0.57999999999999996</v>
      </c>
      <c r="H33" s="57">
        <v>0.5</v>
      </c>
      <c r="I33" s="56">
        <v>0</v>
      </c>
      <c r="J33" s="57">
        <v>0</v>
      </c>
      <c r="K33" s="56">
        <v>14.32</v>
      </c>
      <c r="L33" s="57">
        <v>13.55</v>
      </c>
      <c r="M33" s="56">
        <v>55.51</v>
      </c>
      <c r="N33" s="57">
        <v>52.51</v>
      </c>
      <c r="O33" s="56">
        <v>0.02</v>
      </c>
      <c r="P33" s="57">
        <v>0.02</v>
      </c>
      <c r="Q33" s="56">
        <f>R33*160/150</f>
        <v>5.3333333333333337E-2</v>
      </c>
      <c r="R33" s="57">
        <v>0.05</v>
      </c>
      <c r="S33" s="56">
        <v>23.37</v>
      </c>
      <c r="T33" s="57">
        <v>22.11</v>
      </c>
      <c r="U33" s="56">
        <v>24</v>
      </c>
      <c r="V33" s="57">
        <v>24</v>
      </c>
      <c r="W33" s="56">
        <v>3.3</v>
      </c>
      <c r="X33" s="65">
        <v>3.3</v>
      </c>
      <c r="Y33" s="49"/>
      <c r="Z33" s="52"/>
      <c r="AA33" s="52"/>
      <c r="AB33" s="52"/>
      <c r="AC33" s="48"/>
      <c r="AD33" s="48"/>
      <c r="AE33" s="48"/>
      <c r="AF33" s="48"/>
      <c r="AG33" s="48"/>
    </row>
    <row r="34" spans="1:33" s="7" customFormat="1" ht="27" customHeight="1">
      <c r="A34" s="141" t="s">
        <v>130</v>
      </c>
      <c r="B34" s="23" t="s">
        <v>131</v>
      </c>
      <c r="C34" s="38" t="s">
        <v>10</v>
      </c>
      <c r="D34" s="38" t="s">
        <v>10</v>
      </c>
      <c r="E34" s="28">
        <v>25</v>
      </c>
      <c r="F34" s="28">
        <v>25</v>
      </c>
      <c r="G34" s="28">
        <v>10.72</v>
      </c>
      <c r="H34" s="29">
        <v>10.72</v>
      </c>
      <c r="I34" s="29">
        <v>3.19</v>
      </c>
      <c r="J34" s="29">
        <v>3.19</v>
      </c>
      <c r="K34" s="29">
        <v>2.31</v>
      </c>
      <c r="L34" s="29">
        <v>2.31</v>
      </c>
      <c r="M34" s="29">
        <v>80.819999999999993</v>
      </c>
      <c r="N34" s="29">
        <v>80.819999999999993</v>
      </c>
      <c r="O34" s="29">
        <v>0.09</v>
      </c>
      <c r="P34" s="29">
        <v>0.09</v>
      </c>
      <c r="Q34" s="29">
        <v>0.1</v>
      </c>
      <c r="R34" s="29">
        <v>0.1</v>
      </c>
      <c r="S34" s="29">
        <v>2.99</v>
      </c>
      <c r="T34" s="29">
        <v>2.99</v>
      </c>
      <c r="U34" s="29">
        <v>23.97</v>
      </c>
      <c r="V34" s="29">
        <v>23.97</v>
      </c>
      <c r="W34" s="29">
        <v>0.61</v>
      </c>
      <c r="X34" s="29">
        <v>0.61</v>
      </c>
      <c r="Y34" s="79"/>
      <c r="Z34" s="79"/>
      <c r="AA34" s="79"/>
      <c r="AB34" s="79"/>
      <c r="AC34" s="79"/>
      <c r="AD34" s="71"/>
      <c r="AE34" s="71"/>
      <c r="AF34" s="71"/>
      <c r="AG34" s="71"/>
    </row>
    <row r="35" spans="1:33" s="1" customFormat="1" ht="15" customHeight="1">
      <c r="A35" s="127" t="s">
        <v>123</v>
      </c>
      <c r="B35" s="23" t="s">
        <v>124</v>
      </c>
      <c r="C35" s="38" t="s">
        <v>6</v>
      </c>
      <c r="D35" s="38" t="s">
        <v>96</v>
      </c>
      <c r="E35" s="28">
        <v>7.57</v>
      </c>
      <c r="F35" s="28">
        <v>5.05</v>
      </c>
      <c r="G35" s="28">
        <f>H35*150/100</f>
        <v>2.88</v>
      </c>
      <c r="H35" s="29">
        <v>1.92</v>
      </c>
      <c r="I35" s="28">
        <f>J35*150/100</f>
        <v>4.32</v>
      </c>
      <c r="J35" s="29">
        <v>2.88</v>
      </c>
      <c r="K35" s="28">
        <f>L35*150/100</f>
        <v>22.995000000000001</v>
      </c>
      <c r="L35" s="29">
        <v>15.33</v>
      </c>
      <c r="M35" s="28">
        <f>N35*150/100</f>
        <v>142.35</v>
      </c>
      <c r="N35" s="29">
        <v>94.9</v>
      </c>
      <c r="O35" s="28">
        <f>P35*150/100</f>
        <v>0.18</v>
      </c>
      <c r="P35" s="29">
        <v>0.12</v>
      </c>
      <c r="Q35" s="28">
        <f>R35*150/100</f>
        <v>7.4999999999999997E-2</v>
      </c>
      <c r="R35" s="29">
        <v>0.05</v>
      </c>
      <c r="S35" s="28">
        <f>T35*150/100</f>
        <v>21</v>
      </c>
      <c r="T35" s="29">
        <v>14</v>
      </c>
      <c r="U35" s="28">
        <f>V35*150/100</f>
        <v>16.155000000000001</v>
      </c>
      <c r="V35" s="29">
        <v>10.77</v>
      </c>
      <c r="W35" s="28">
        <f>X35*150/100</f>
        <v>1.365</v>
      </c>
      <c r="X35" s="29">
        <v>0.91</v>
      </c>
    </row>
    <row r="36" spans="1:33" ht="15" customHeight="1">
      <c r="A36" s="128" t="s">
        <v>87</v>
      </c>
      <c r="B36" s="62" t="s">
        <v>88</v>
      </c>
      <c r="C36" s="60" t="s">
        <v>5</v>
      </c>
      <c r="D36" s="60" t="s">
        <v>6</v>
      </c>
      <c r="E36" s="56">
        <v>0.55000000000000004</v>
      </c>
      <c r="F36" s="56">
        <v>0.41</v>
      </c>
      <c r="G36" s="56">
        <v>0.18</v>
      </c>
      <c r="H36" s="57">
        <v>0.13</v>
      </c>
      <c r="I36" s="56">
        <f>J36*200/150</f>
        <v>0</v>
      </c>
      <c r="J36" s="57">
        <v>0</v>
      </c>
      <c r="K36" s="56">
        <v>4.78</v>
      </c>
      <c r="L36" s="57">
        <v>3.58</v>
      </c>
      <c r="M36" s="56">
        <v>19.899999999999999</v>
      </c>
      <c r="N36" s="57">
        <v>14.92</v>
      </c>
      <c r="O36" s="56">
        <f>P36*200/150</f>
        <v>1.3333333333333334E-2</v>
      </c>
      <c r="P36" s="64">
        <v>0.01</v>
      </c>
      <c r="Q36" s="56">
        <f>R36*200/150</f>
        <v>1.3333333333333334E-2</v>
      </c>
      <c r="R36" s="64">
        <v>0.01</v>
      </c>
      <c r="S36" s="56">
        <v>0.04</v>
      </c>
      <c r="T36" s="64">
        <v>0.03</v>
      </c>
      <c r="U36" s="56">
        <f>V36*200/150</f>
        <v>5.0533333333333337</v>
      </c>
      <c r="V36" s="64">
        <v>3.79</v>
      </c>
      <c r="W36" s="56">
        <f>X36*200/150</f>
        <v>0.84</v>
      </c>
      <c r="X36" s="116">
        <v>0.63</v>
      </c>
      <c r="Y36" s="48"/>
      <c r="Z36" s="48"/>
      <c r="AA36" s="48"/>
      <c r="AB36" s="48"/>
      <c r="AC36" s="48"/>
      <c r="AD36" s="48"/>
      <c r="AE36" s="48"/>
    </row>
    <row r="37" spans="1:33" s="16" customFormat="1" ht="15" customHeight="1">
      <c r="A37" s="127"/>
      <c r="B37" s="23" t="s">
        <v>11</v>
      </c>
      <c r="C37" s="38" t="s">
        <v>14</v>
      </c>
      <c r="D37" s="38" t="s">
        <v>14</v>
      </c>
      <c r="E37" s="28">
        <v>1.1100000000000001</v>
      </c>
      <c r="F37" s="28">
        <v>1.1100000000000001</v>
      </c>
      <c r="G37" s="28">
        <v>1.6</v>
      </c>
      <c r="H37" s="28">
        <v>1.6</v>
      </c>
      <c r="I37" s="28">
        <v>0.4</v>
      </c>
      <c r="J37" s="28">
        <v>0.4</v>
      </c>
      <c r="K37" s="28">
        <v>10</v>
      </c>
      <c r="L37" s="28">
        <v>10</v>
      </c>
      <c r="M37" s="29">
        <v>54</v>
      </c>
      <c r="N37" s="29">
        <v>54</v>
      </c>
      <c r="O37" s="37">
        <v>0.04</v>
      </c>
      <c r="P37" s="42">
        <v>0.04</v>
      </c>
      <c r="Q37" s="37">
        <v>0.02</v>
      </c>
      <c r="R37" s="42">
        <v>0.02</v>
      </c>
      <c r="S37" s="37">
        <v>0</v>
      </c>
      <c r="T37" s="42">
        <v>0</v>
      </c>
      <c r="U37" s="37">
        <v>7.4</v>
      </c>
      <c r="V37" s="42">
        <v>7.4</v>
      </c>
      <c r="W37" s="37">
        <v>0.56000000000000005</v>
      </c>
      <c r="X37" s="42">
        <v>0.56000000000000005</v>
      </c>
      <c r="Y37" s="51"/>
      <c r="Z37" s="51"/>
      <c r="AA37" s="51"/>
      <c r="AB37" s="51"/>
      <c r="AC37" s="51"/>
      <c r="AD37" s="51"/>
      <c r="AE37" s="51"/>
    </row>
    <row r="38" spans="1:33" ht="15" customHeight="1">
      <c r="A38" s="22"/>
      <c r="B38" s="23" t="s">
        <v>7</v>
      </c>
      <c r="C38" s="38"/>
      <c r="D38" s="38"/>
      <c r="E38" s="17">
        <f>SUM(E33:E37)</f>
        <v>46.68</v>
      </c>
      <c r="F38" s="17">
        <f>SUM(F33:F37)</f>
        <v>44.959999999999994</v>
      </c>
      <c r="G38" s="17">
        <f t="shared" ref="G38:T38" si="4">SUM(G33:G37)</f>
        <v>15.959999999999999</v>
      </c>
      <c r="H38" s="17">
        <f t="shared" si="4"/>
        <v>14.870000000000001</v>
      </c>
      <c r="I38" s="17">
        <f t="shared" si="4"/>
        <v>7.91</v>
      </c>
      <c r="J38" s="17">
        <f t="shared" si="4"/>
        <v>6.4700000000000006</v>
      </c>
      <c r="K38" s="17">
        <f t="shared" si="4"/>
        <v>54.405000000000001</v>
      </c>
      <c r="L38" s="17">
        <f t="shared" si="4"/>
        <v>44.77</v>
      </c>
      <c r="M38" s="17">
        <f t="shared" si="4"/>
        <v>352.57999999999993</v>
      </c>
      <c r="N38" s="17">
        <f t="shared" si="4"/>
        <v>297.14999999999998</v>
      </c>
      <c r="O38" s="17">
        <f t="shared" si="4"/>
        <v>0.34333333333333327</v>
      </c>
      <c r="P38" s="17">
        <f t="shared" si="4"/>
        <v>0.27999999999999997</v>
      </c>
      <c r="Q38" s="17">
        <f t="shared" si="4"/>
        <v>0.26166666666666666</v>
      </c>
      <c r="R38" s="17">
        <f t="shared" si="4"/>
        <v>0.23</v>
      </c>
      <c r="S38" s="17">
        <f t="shared" si="4"/>
        <v>47.4</v>
      </c>
      <c r="T38" s="17">
        <f t="shared" si="4"/>
        <v>39.130000000000003</v>
      </c>
      <c r="U38" s="17">
        <f>SUM(U33:U37)</f>
        <v>76.578333333333333</v>
      </c>
      <c r="V38" s="17">
        <f>SUM(V33:V37)</f>
        <v>69.929999999999993</v>
      </c>
      <c r="W38" s="17">
        <f>SUM(W33:W37)</f>
        <v>6.6749999999999989</v>
      </c>
      <c r="X38" s="17">
        <f>SUM(X33:X37)</f>
        <v>6.01</v>
      </c>
      <c r="Y38" s="67">
        <f>SUM(Y33:Y37)</f>
        <v>0</v>
      </c>
      <c r="Z38" s="53"/>
      <c r="AA38" s="53"/>
      <c r="AB38" s="53"/>
      <c r="AC38" s="53"/>
      <c r="AD38" s="48"/>
      <c r="AE38" s="48"/>
    </row>
    <row r="39" spans="1:33" ht="15" customHeight="1">
      <c r="A39" s="22"/>
      <c r="B39" s="23" t="s">
        <v>15</v>
      </c>
      <c r="C39" s="38"/>
      <c r="D39" s="38"/>
      <c r="E39" s="17">
        <f>E38+E31+E28+E20+E17</f>
        <v>127.39</v>
      </c>
      <c r="F39" s="17">
        <f t="shared" ref="F39:T39" si="5">F38+F31+F28+F20+F17</f>
        <v>122.04999999999997</v>
      </c>
      <c r="G39" s="17">
        <f t="shared" si="5"/>
        <v>49.81</v>
      </c>
      <c r="H39" s="17">
        <f t="shared" si="5"/>
        <v>46.57</v>
      </c>
      <c r="I39" s="17">
        <f t="shared" si="5"/>
        <v>48.22</v>
      </c>
      <c r="J39" s="17">
        <f t="shared" si="5"/>
        <v>41.616</v>
      </c>
      <c r="K39" s="17">
        <f t="shared" si="5"/>
        <v>267.315</v>
      </c>
      <c r="L39" s="17">
        <f t="shared" si="5"/>
        <v>206.57</v>
      </c>
      <c r="M39" s="17">
        <f t="shared" si="5"/>
        <v>1593.43</v>
      </c>
      <c r="N39" s="17">
        <f t="shared" si="5"/>
        <v>1386.3899999999999</v>
      </c>
      <c r="O39" s="17">
        <f t="shared" si="5"/>
        <v>1.0233333333333332</v>
      </c>
      <c r="P39" s="17">
        <f t="shared" si="5"/>
        <v>0.81681159420289862</v>
      </c>
      <c r="Q39" s="17">
        <f t="shared" si="5"/>
        <v>0.98566666666666658</v>
      </c>
      <c r="R39" s="17">
        <f t="shared" si="5"/>
        <v>0.80775362318840571</v>
      </c>
      <c r="S39" s="17">
        <f t="shared" si="5"/>
        <v>87.500000000000014</v>
      </c>
      <c r="T39" s="17">
        <f t="shared" si="5"/>
        <v>77.162500000000009</v>
      </c>
      <c r="U39" s="17">
        <f>U38+U31+U28+U20+U17</f>
        <v>576.14433333333341</v>
      </c>
      <c r="V39" s="17">
        <f>V38+V31+V28+V20+V17</f>
        <v>524.87666666666667</v>
      </c>
      <c r="W39" s="17">
        <f>W38+W31+W28+W20+W17</f>
        <v>18.893666666666665</v>
      </c>
      <c r="X39" s="17">
        <f>X38+X31+X28+X20+X17</f>
        <v>15.456666666666669</v>
      </c>
      <c r="Y39" s="67">
        <f>Y38+Y31+Y28+Y20+Y17</f>
        <v>0</v>
      </c>
      <c r="Z39" s="53"/>
      <c r="AA39" s="53"/>
      <c r="AB39" s="53"/>
      <c r="AC39" s="53"/>
      <c r="AD39" s="48"/>
      <c r="AE39" s="48"/>
    </row>
    <row r="40" spans="1:33" ht="15" customHeight="1">
      <c r="A40" s="22"/>
      <c r="B40" s="23"/>
      <c r="C40" s="38"/>
      <c r="D40" s="3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67"/>
      <c r="Y40" s="58"/>
      <c r="Z40" s="53"/>
      <c r="AA40" s="53"/>
      <c r="AB40" s="53"/>
      <c r="AC40" s="53"/>
      <c r="AD40" s="48"/>
      <c r="AE40" s="48"/>
    </row>
    <row r="41" spans="1:33" ht="15" customHeight="1">
      <c r="A41" s="22"/>
      <c r="B41" s="23"/>
      <c r="C41" s="38"/>
      <c r="D41" s="38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67"/>
      <c r="Y41" s="58"/>
      <c r="Z41" s="53"/>
      <c r="AA41" s="53"/>
      <c r="AB41" s="53"/>
      <c r="AC41" s="53"/>
      <c r="AD41" s="48"/>
      <c r="AE41" s="48"/>
    </row>
    <row r="42" spans="1:33" ht="15" customHeight="1">
      <c r="A42" s="22"/>
      <c r="B42" s="144" t="s">
        <v>163</v>
      </c>
      <c r="C42" s="38"/>
      <c r="D42" s="38"/>
      <c r="E42" s="28"/>
      <c r="F42" s="28"/>
      <c r="G42" s="28"/>
      <c r="H42" s="29"/>
      <c r="I42" s="29"/>
      <c r="J42" s="29"/>
      <c r="K42" s="29"/>
      <c r="L42" s="29"/>
      <c r="M42" s="29"/>
      <c r="N42" s="29"/>
      <c r="O42" s="36"/>
      <c r="P42" s="36"/>
      <c r="Q42" s="36"/>
      <c r="R42" s="36"/>
      <c r="S42" s="36"/>
      <c r="T42" s="36"/>
      <c r="U42" s="36"/>
      <c r="V42" s="36"/>
      <c r="W42" s="36"/>
      <c r="X42" s="70"/>
      <c r="Y42" s="49"/>
      <c r="Z42" s="48"/>
      <c r="AA42" s="48"/>
      <c r="AB42" s="48"/>
      <c r="AC42" s="48"/>
      <c r="AD42" s="48"/>
      <c r="AE42" s="48"/>
    </row>
    <row r="43" spans="1:33" ht="15" customHeight="1">
      <c r="A43" s="22"/>
      <c r="B43" s="87" t="s">
        <v>4</v>
      </c>
      <c r="C43" s="38"/>
      <c r="D43" s="38"/>
      <c r="E43" s="28"/>
      <c r="F43" s="28"/>
      <c r="G43" s="28"/>
      <c r="H43" s="29"/>
      <c r="I43" s="29"/>
      <c r="J43" s="29"/>
      <c r="K43" s="29"/>
      <c r="L43" s="29"/>
      <c r="M43" s="29"/>
      <c r="N43" s="29"/>
      <c r="O43" s="36"/>
      <c r="P43" s="36"/>
      <c r="Q43" s="36"/>
      <c r="R43" s="36"/>
      <c r="S43" s="36"/>
      <c r="T43" s="36"/>
      <c r="U43" s="36"/>
      <c r="V43" s="36"/>
      <c r="W43" s="36"/>
      <c r="X43" s="70"/>
      <c r="Y43" s="49"/>
      <c r="Z43" s="48"/>
      <c r="AA43" s="48"/>
      <c r="AB43" s="48"/>
      <c r="AC43" s="48"/>
      <c r="AD43" s="48"/>
      <c r="AE43" s="48"/>
    </row>
    <row r="44" spans="1:33" s="1" customFormat="1" ht="14.25" customHeight="1">
      <c r="A44" s="127" t="s">
        <v>65</v>
      </c>
      <c r="B44" s="23" t="s">
        <v>121</v>
      </c>
      <c r="C44" s="38" t="s">
        <v>86</v>
      </c>
      <c r="D44" s="38" t="s">
        <v>86</v>
      </c>
      <c r="E44" s="28">
        <v>4.1500000000000004</v>
      </c>
      <c r="F44" s="28">
        <v>4.1500000000000004</v>
      </c>
      <c r="G44" s="28">
        <v>2.9</v>
      </c>
      <c r="H44" s="29">
        <v>2.9</v>
      </c>
      <c r="I44" s="28">
        <v>1.95</v>
      </c>
      <c r="J44" s="29">
        <v>1.95</v>
      </c>
      <c r="K44" s="28">
        <v>10.4</v>
      </c>
      <c r="L44" s="29">
        <v>10.4</v>
      </c>
      <c r="M44" s="28">
        <v>70.75</v>
      </c>
      <c r="N44" s="29">
        <v>70.75</v>
      </c>
      <c r="O44" s="82">
        <v>0.08</v>
      </c>
      <c r="P44" s="82">
        <f>O44*40/60</f>
        <v>5.3333333333333337E-2</v>
      </c>
      <c r="Q44" s="82">
        <v>0.06</v>
      </c>
      <c r="R44" s="82">
        <f>Q44*40/60</f>
        <v>0.04</v>
      </c>
      <c r="S44" s="28">
        <v>0.14000000000000001</v>
      </c>
      <c r="T44" s="29">
        <v>0.14000000000000001</v>
      </c>
      <c r="U44" s="29">
        <v>70.8</v>
      </c>
      <c r="V44" s="29">
        <f>U44*40/60</f>
        <v>47.2</v>
      </c>
      <c r="W44" s="29">
        <v>0.81</v>
      </c>
      <c r="X44" s="69">
        <f>W44*40/60</f>
        <v>0.54000000000000015</v>
      </c>
      <c r="Y44" s="54"/>
      <c r="Z44" s="52"/>
      <c r="AA44" s="52"/>
      <c r="AB44" s="52"/>
      <c r="AC44" s="52"/>
      <c r="AD44" s="52"/>
    </row>
    <row r="45" spans="1:33" ht="13.5" customHeight="1">
      <c r="A45" s="127" t="s">
        <v>81</v>
      </c>
      <c r="B45" s="23" t="s">
        <v>97</v>
      </c>
      <c r="C45" s="38" t="s">
        <v>5</v>
      </c>
      <c r="D45" s="38" t="s">
        <v>6</v>
      </c>
      <c r="E45" s="56">
        <v>6.97</v>
      </c>
      <c r="F45" s="56">
        <v>5.23</v>
      </c>
      <c r="G45" s="28">
        <v>5.76</v>
      </c>
      <c r="H45" s="28">
        <v>4.32</v>
      </c>
      <c r="I45" s="28">
        <v>6.64</v>
      </c>
      <c r="J45" s="28">
        <v>4.9800000000000004</v>
      </c>
      <c r="K45" s="28">
        <v>19.28</v>
      </c>
      <c r="L45" s="28">
        <f>K45*150/200</f>
        <v>14.46</v>
      </c>
      <c r="M45" s="28">
        <v>160</v>
      </c>
      <c r="N45" s="28">
        <v>120</v>
      </c>
      <c r="O45" s="29">
        <v>0.09</v>
      </c>
      <c r="P45" s="28">
        <f>O45*150/200</f>
        <v>6.7500000000000004E-2</v>
      </c>
      <c r="Q45" s="29">
        <v>0.14000000000000001</v>
      </c>
      <c r="R45" s="28">
        <f>Q45*150/200</f>
        <v>0.10500000000000002</v>
      </c>
      <c r="S45" s="29">
        <v>0.9</v>
      </c>
      <c r="T45" s="28">
        <v>0.67</v>
      </c>
      <c r="U45" s="29">
        <v>129.32</v>
      </c>
      <c r="V45" s="28">
        <f>U45*150/200</f>
        <v>96.99</v>
      </c>
      <c r="W45" s="29">
        <v>0.42</v>
      </c>
      <c r="X45" s="121">
        <f>W45*150/200</f>
        <v>0.315</v>
      </c>
      <c r="Y45" s="49"/>
      <c r="Z45" s="48"/>
      <c r="AA45" s="48"/>
      <c r="AB45" s="48"/>
      <c r="AC45" s="48"/>
      <c r="AD45" s="48"/>
      <c r="AE45" s="48"/>
      <c r="AF45" s="48"/>
      <c r="AG45" s="48"/>
    </row>
    <row r="46" spans="1:33" ht="15" customHeight="1">
      <c r="A46" s="127" t="s">
        <v>32</v>
      </c>
      <c r="B46" s="23" t="s">
        <v>33</v>
      </c>
      <c r="C46" s="38" t="s">
        <v>31</v>
      </c>
      <c r="D46" s="38" t="s">
        <v>6</v>
      </c>
      <c r="E46" s="28">
        <v>6.02</v>
      </c>
      <c r="F46" s="28">
        <v>5.0199999999999996</v>
      </c>
      <c r="G46" s="35">
        <v>2.95</v>
      </c>
      <c r="H46" s="35">
        <v>2.46</v>
      </c>
      <c r="I46" s="35">
        <v>3.24</v>
      </c>
      <c r="J46" s="35">
        <v>2.7</v>
      </c>
      <c r="K46" s="35">
        <v>22.82</v>
      </c>
      <c r="L46" s="35">
        <v>19.02</v>
      </c>
      <c r="M46" s="35">
        <v>132.26</v>
      </c>
      <c r="N46" s="29">
        <v>110.22</v>
      </c>
      <c r="O46" s="35">
        <f>P46*180/150</f>
        <v>2.4E-2</v>
      </c>
      <c r="P46" s="39">
        <v>0.02</v>
      </c>
      <c r="Q46" s="35">
        <f>R46*180/150</f>
        <v>0.12</v>
      </c>
      <c r="R46" s="39">
        <v>0.1</v>
      </c>
      <c r="S46" s="35">
        <v>1.43</v>
      </c>
      <c r="T46" s="39">
        <v>1.2</v>
      </c>
      <c r="U46" s="35">
        <f>V46*180/150</f>
        <v>109.58399999999999</v>
      </c>
      <c r="V46" s="39">
        <v>91.32</v>
      </c>
      <c r="W46" s="35">
        <f>X46*180/150</f>
        <v>0.36</v>
      </c>
      <c r="X46" s="39">
        <v>0.3</v>
      </c>
      <c r="Y46" s="48"/>
      <c r="Z46" s="48"/>
      <c r="AA46" s="48"/>
      <c r="AB46" s="48"/>
      <c r="AC46" s="48"/>
      <c r="AD46" s="48"/>
      <c r="AE46" s="48"/>
    </row>
    <row r="47" spans="1:33" ht="15" customHeight="1">
      <c r="A47" s="22"/>
      <c r="B47" s="23" t="s">
        <v>7</v>
      </c>
      <c r="C47" s="38"/>
      <c r="D47" s="38"/>
      <c r="E47" s="17">
        <f>SUM(E44:E46)</f>
        <v>17.14</v>
      </c>
      <c r="F47" s="17">
        <f>SUM(F44:F46)</f>
        <v>14.4</v>
      </c>
      <c r="G47" s="17">
        <f t="shared" ref="G47:T47" si="6">SUM(G44:G46)</f>
        <v>11.61</v>
      </c>
      <c r="H47" s="17">
        <f t="shared" si="6"/>
        <v>9.68</v>
      </c>
      <c r="I47" s="17">
        <f t="shared" si="6"/>
        <v>11.83</v>
      </c>
      <c r="J47" s="17">
        <f t="shared" si="6"/>
        <v>9.6300000000000008</v>
      </c>
      <c r="K47" s="17">
        <f t="shared" si="6"/>
        <v>52.5</v>
      </c>
      <c r="L47" s="17">
        <f t="shared" si="6"/>
        <v>43.879999999999995</v>
      </c>
      <c r="M47" s="17">
        <f t="shared" si="6"/>
        <v>363.01</v>
      </c>
      <c r="N47" s="17">
        <f t="shared" si="6"/>
        <v>300.97000000000003</v>
      </c>
      <c r="O47" s="17">
        <f t="shared" si="6"/>
        <v>0.19399999999999998</v>
      </c>
      <c r="P47" s="17">
        <f t="shared" si="6"/>
        <v>0.14083333333333334</v>
      </c>
      <c r="Q47" s="17">
        <f t="shared" si="6"/>
        <v>0.32</v>
      </c>
      <c r="R47" s="17">
        <f t="shared" si="6"/>
        <v>0.24500000000000002</v>
      </c>
      <c r="S47" s="17">
        <f t="shared" si="6"/>
        <v>2.4699999999999998</v>
      </c>
      <c r="T47" s="17">
        <f t="shared" si="6"/>
        <v>2.0099999999999998</v>
      </c>
      <c r="U47" s="17">
        <f>SUM(U44:U46)</f>
        <v>309.70400000000001</v>
      </c>
      <c r="V47" s="17">
        <f>SUM(V44:V46)</f>
        <v>235.51</v>
      </c>
      <c r="W47" s="17">
        <f>SUM(W44:W46)</f>
        <v>1.5899999999999999</v>
      </c>
      <c r="X47" s="17">
        <f>SUM(X44:X46)</f>
        <v>1.1550000000000002</v>
      </c>
      <c r="Y47" s="67">
        <f>SUM(Y44:Y46)</f>
        <v>0</v>
      </c>
      <c r="Z47" s="53"/>
      <c r="AA47" s="53"/>
      <c r="AB47" s="53"/>
      <c r="AC47" s="53"/>
      <c r="AD47" s="48"/>
      <c r="AE47" s="48"/>
    </row>
    <row r="48" spans="1:33" ht="15" customHeight="1">
      <c r="A48" s="22"/>
      <c r="B48" s="87" t="s">
        <v>16</v>
      </c>
      <c r="C48" s="38"/>
      <c r="D48" s="38"/>
      <c r="E48" s="28"/>
      <c r="F48" s="28"/>
      <c r="G48" s="28"/>
      <c r="H48" s="29"/>
      <c r="I48" s="29"/>
      <c r="J48" s="29"/>
      <c r="K48" s="29"/>
      <c r="L48" s="29"/>
      <c r="M48" s="29"/>
      <c r="N48" s="29"/>
      <c r="O48" s="36"/>
      <c r="P48" s="36"/>
      <c r="Q48" s="36"/>
      <c r="R48" s="36"/>
      <c r="S48" s="36"/>
      <c r="T48" s="36"/>
      <c r="U48" s="36"/>
      <c r="V48" s="36"/>
      <c r="W48" s="36"/>
      <c r="X48" s="70"/>
      <c r="Y48" s="49"/>
      <c r="Z48" s="48"/>
      <c r="AA48" s="48"/>
      <c r="AB48" s="48"/>
      <c r="AC48" s="48"/>
      <c r="AD48" s="48"/>
      <c r="AE48" s="48"/>
    </row>
    <row r="49" spans="1:31" s="1" customFormat="1" ht="15" customHeight="1">
      <c r="A49" s="128" t="s">
        <v>52</v>
      </c>
      <c r="B49" s="59" t="s">
        <v>59</v>
      </c>
      <c r="C49" s="60" t="s">
        <v>114</v>
      </c>
      <c r="D49" s="60" t="s">
        <v>114</v>
      </c>
      <c r="E49" s="56">
        <v>4.8</v>
      </c>
      <c r="F49" s="56">
        <v>4.8</v>
      </c>
      <c r="G49" s="61">
        <v>0</v>
      </c>
      <c r="H49" s="63">
        <v>0</v>
      </c>
      <c r="I49" s="61">
        <f>J49*180/150</f>
        <v>0</v>
      </c>
      <c r="J49" s="63">
        <v>0</v>
      </c>
      <c r="K49" s="61">
        <v>10.199999999999999</v>
      </c>
      <c r="L49" s="63">
        <v>10.199999999999999</v>
      </c>
      <c r="M49" s="61">
        <v>40.799999999999997</v>
      </c>
      <c r="N49" s="63">
        <v>40.799999999999997</v>
      </c>
      <c r="O49" s="61">
        <f>P49*180/150</f>
        <v>0</v>
      </c>
      <c r="P49" s="63">
        <v>0</v>
      </c>
      <c r="Q49" s="61">
        <f>R49*180/150</f>
        <v>2.4E-2</v>
      </c>
      <c r="R49" s="63">
        <v>0.02</v>
      </c>
      <c r="S49" s="61">
        <v>3.4</v>
      </c>
      <c r="T49" s="63">
        <v>3.4</v>
      </c>
      <c r="U49" s="61">
        <f>V49*180/150</f>
        <v>9.9960000000000004</v>
      </c>
      <c r="V49" s="63">
        <v>8.33</v>
      </c>
      <c r="W49" s="61">
        <f>X49*180/150</f>
        <v>0.252</v>
      </c>
      <c r="X49" s="101">
        <v>0.21</v>
      </c>
      <c r="Y49" s="52"/>
      <c r="Z49" s="52"/>
      <c r="AA49" s="52"/>
      <c r="AB49" s="52"/>
      <c r="AC49" s="52"/>
      <c r="AD49" s="52"/>
      <c r="AE49" s="52"/>
    </row>
    <row r="50" spans="1:31" ht="15" customHeight="1">
      <c r="A50" s="22"/>
      <c r="B50" s="23" t="s">
        <v>7</v>
      </c>
      <c r="C50" s="38"/>
      <c r="D50" s="38"/>
      <c r="E50" s="17">
        <f>SUM(E49)</f>
        <v>4.8</v>
      </c>
      <c r="F50" s="17">
        <f>SUM(F49)</f>
        <v>4.8</v>
      </c>
      <c r="G50" s="17">
        <f t="shared" ref="G50:T50" si="7">SUM(G49)</f>
        <v>0</v>
      </c>
      <c r="H50" s="17">
        <f t="shared" si="7"/>
        <v>0</v>
      </c>
      <c r="I50" s="17">
        <f t="shared" si="7"/>
        <v>0</v>
      </c>
      <c r="J50" s="17">
        <f t="shared" si="7"/>
        <v>0</v>
      </c>
      <c r="K50" s="17">
        <f t="shared" si="7"/>
        <v>10.199999999999999</v>
      </c>
      <c r="L50" s="17">
        <f t="shared" si="7"/>
        <v>10.199999999999999</v>
      </c>
      <c r="M50" s="17">
        <f t="shared" si="7"/>
        <v>40.799999999999997</v>
      </c>
      <c r="N50" s="17">
        <f t="shared" si="7"/>
        <v>40.799999999999997</v>
      </c>
      <c r="O50" s="17">
        <f t="shared" si="7"/>
        <v>0</v>
      </c>
      <c r="P50" s="17">
        <f t="shared" si="7"/>
        <v>0</v>
      </c>
      <c r="Q50" s="17">
        <f t="shared" si="7"/>
        <v>2.4E-2</v>
      </c>
      <c r="R50" s="17">
        <f t="shared" si="7"/>
        <v>0.02</v>
      </c>
      <c r="S50" s="17">
        <f t="shared" si="7"/>
        <v>3.4</v>
      </c>
      <c r="T50" s="17">
        <f t="shared" si="7"/>
        <v>3.4</v>
      </c>
      <c r="U50" s="17">
        <f>SUM(U49)</f>
        <v>9.9960000000000004</v>
      </c>
      <c r="V50" s="17">
        <f>SUM(V49)</f>
        <v>8.33</v>
      </c>
      <c r="W50" s="17">
        <f>SUM(W49)</f>
        <v>0.252</v>
      </c>
      <c r="X50" s="17">
        <f>SUM(X49)</f>
        <v>0.21</v>
      </c>
      <c r="Y50" s="67">
        <f>SUM(Y49)</f>
        <v>0</v>
      </c>
      <c r="Z50" s="53"/>
      <c r="AA50" s="53"/>
      <c r="AB50" s="53"/>
      <c r="AC50" s="53"/>
      <c r="AD50" s="48"/>
      <c r="AE50" s="48"/>
    </row>
    <row r="51" spans="1:31" ht="15" customHeight="1">
      <c r="A51" s="22"/>
      <c r="B51" s="87" t="s">
        <v>9</v>
      </c>
      <c r="C51" s="38"/>
      <c r="D51" s="38"/>
      <c r="E51" s="28"/>
      <c r="F51" s="28"/>
      <c r="G51" s="28"/>
      <c r="H51" s="29"/>
      <c r="I51" s="29"/>
      <c r="J51" s="29"/>
      <c r="K51" s="29"/>
      <c r="L51" s="29"/>
      <c r="M51" s="29"/>
      <c r="N51" s="29"/>
      <c r="O51" s="36"/>
      <c r="P51" s="36"/>
      <c r="Q51" s="36"/>
      <c r="R51" s="36"/>
      <c r="S51" s="36"/>
      <c r="T51" s="36"/>
      <c r="U51" s="36"/>
      <c r="V51" s="36"/>
      <c r="W51" s="36"/>
      <c r="X51" s="70"/>
      <c r="Y51" s="49"/>
      <c r="Z51" s="48"/>
      <c r="AA51" s="48"/>
      <c r="AB51" s="48"/>
      <c r="AC51" s="48"/>
      <c r="AD51" s="48"/>
      <c r="AE51" s="48"/>
    </row>
    <row r="52" spans="1:31" ht="16.5" customHeight="1">
      <c r="A52" s="128" t="s">
        <v>157</v>
      </c>
      <c r="B52" s="107" t="s">
        <v>158</v>
      </c>
      <c r="C52" s="60" t="s">
        <v>102</v>
      </c>
      <c r="D52" s="60" t="s">
        <v>118</v>
      </c>
      <c r="E52" s="56">
        <v>1.95</v>
      </c>
      <c r="F52" s="56">
        <v>1.76</v>
      </c>
      <c r="G52" s="56">
        <f>H52*50/45</f>
        <v>0.5</v>
      </c>
      <c r="H52" s="57">
        <v>0.45</v>
      </c>
      <c r="I52" s="56">
        <f>J52*50/45</f>
        <v>2.5</v>
      </c>
      <c r="J52" s="57">
        <v>2.25</v>
      </c>
      <c r="K52" s="56">
        <f>L52*50/45</f>
        <v>5.0999999999999996</v>
      </c>
      <c r="L52" s="57">
        <v>4.59</v>
      </c>
      <c r="M52" s="56">
        <f>N52*50/45</f>
        <v>45</v>
      </c>
      <c r="N52" s="57">
        <v>40.5</v>
      </c>
      <c r="O52" s="57"/>
      <c r="P52" s="57"/>
      <c r="Q52" s="57"/>
      <c r="R52" s="57"/>
      <c r="S52" s="56">
        <f>T52*50/45</f>
        <v>11.2</v>
      </c>
      <c r="T52" s="57">
        <v>10.08</v>
      </c>
      <c r="U52" s="132">
        <v>20.69</v>
      </c>
      <c r="V52" s="81">
        <v>0</v>
      </c>
      <c r="W52" s="132">
        <v>0.78</v>
      </c>
      <c r="X52" s="81">
        <v>0</v>
      </c>
    </row>
    <row r="53" spans="1:31" ht="28.5" customHeight="1">
      <c r="A53" s="138" t="s">
        <v>135</v>
      </c>
      <c r="B53" s="62" t="s">
        <v>136</v>
      </c>
      <c r="C53" s="60" t="s">
        <v>66</v>
      </c>
      <c r="D53" s="60" t="s">
        <v>67</v>
      </c>
      <c r="E53" s="142">
        <v>15.29</v>
      </c>
      <c r="F53" s="56">
        <v>13.8</v>
      </c>
      <c r="G53" s="61">
        <v>6.72</v>
      </c>
      <c r="H53" s="61">
        <v>4.6100000000000003</v>
      </c>
      <c r="I53" s="61">
        <v>8.51</v>
      </c>
      <c r="J53" s="61">
        <v>4.7699999999999996</v>
      </c>
      <c r="K53" s="61">
        <v>20.309999999999999</v>
      </c>
      <c r="L53" s="61">
        <v>17.89</v>
      </c>
      <c r="M53" s="61">
        <v>140.12</v>
      </c>
      <c r="N53" s="61">
        <v>115.5</v>
      </c>
      <c r="O53" s="66">
        <v>0.14000000000000001</v>
      </c>
      <c r="P53" s="75">
        <v>0.11</v>
      </c>
      <c r="Q53" s="66">
        <v>0.11</v>
      </c>
      <c r="R53" s="75">
        <v>0.11</v>
      </c>
      <c r="S53" s="66">
        <v>10.78</v>
      </c>
      <c r="T53" s="75">
        <v>10.78</v>
      </c>
      <c r="U53" s="29"/>
      <c r="V53" s="29"/>
      <c r="W53" s="29"/>
      <c r="X53" s="29"/>
      <c r="Z53" s="48"/>
      <c r="AA53" s="48"/>
      <c r="AB53" s="48"/>
    </row>
    <row r="54" spans="1:31" s="7" customFormat="1" ht="15" customHeight="1">
      <c r="A54" s="128" t="s">
        <v>119</v>
      </c>
      <c r="B54" s="59" t="s">
        <v>120</v>
      </c>
      <c r="C54" s="60" t="s">
        <v>10</v>
      </c>
      <c r="D54" s="60" t="s">
        <v>10</v>
      </c>
      <c r="E54" s="56">
        <v>18.3</v>
      </c>
      <c r="F54" s="56">
        <v>18.3</v>
      </c>
      <c r="G54" s="56">
        <v>10</v>
      </c>
      <c r="H54" s="56">
        <v>10</v>
      </c>
      <c r="I54" s="57">
        <v>3</v>
      </c>
      <c r="J54" s="57">
        <v>3</v>
      </c>
      <c r="K54" s="57">
        <v>6</v>
      </c>
      <c r="L54" s="57">
        <v>6</v>
      </c>
      <c r="M54" s="57">
        <v>90</v>
      </c>
      <c r="N54" s="57">
        <v>90</v>
      </c>
      <c r="O54" s="57">
        <v>7.0000000000000007E-2</v>
      </c>
      <c r="P54" s="57">
        <v>7.0000000000000007E-2</v>
      </c>
      <c r="Q54" s="57">
        <v>0.09</v>
      </c>
      <c r="R54" s="57">
        <v>0.09</v>
      </c>
      <c r="S54" s="57">
        <v>0.35</v>
      </c>
      <c r="T54" s="57">
        <v>0.35</v>
      </c>
      <c r="U54" s="64">
        <v>5.85</v>
      </c>
      <c r="V54" s="64">
        <v>5.85</v>
      </c>
      <c r="W54" s="64">
        <v>0.85</v>
      </c>
      <c r="X54" s="64">
        <v>0.85</v>
      </c>
      <c r="Z54" s="71"/>
      <c r="AA54" s="71"/>
      <c r="AB54" s="71"/>
      <c r="AC54" s="71"/>
    </row>
    <row r="55" spans="1:31" s="8" customFormat="1" ht="15" customHeight="1">
      <c r="A55" s="128" t="s">
        <v>28</v>
      </c>
      <c r="B55" s="59" t="s">
        <v>95</v>
      </c>
      <c r="C55" s="60" t="s">
        <v>78</v>
      </c>
      <c r="D55" s="60" t="s">
        <v>96</v>
      </c>
      <c r="E55" s="56">
        <v>3.24</v>
      </c>
      <c r="F55" s="56">
        <v>2.4900000000000002</v>
      </c>
      <c r="G55" s="57">
        <v>3.9</v>
      </c>
      <c r="H55" s="57">
        <f>G55*100/130</f>
        <v>3</v>
      </c>
      <c r="I55" s="57">
        <v>5.85</v>
      </c>
      <c r="J55" s="57">
        <f>I55*100/130</f>
        <v>4.5</v>
      </c>
      <c r="K55" s="57">
        <v>19.37</v>
      </c>
      <c r="L55" s="57">
        <f>K55*100/130</f>
        <v>14.9</v>
      </c>
      <c r="M55" s="57">
        <v>145.72999999999999</v>
      </c>
      <c r="N55" s="57">
        <f>M55*100/130</f>
        <v>112.09999999999998</v>
      </c>
      <c r="O55" s="57">
        <f>P55*130/100</f>
        <v>3.9E-2</v>
      </c>
      <c r="P55" s="57">
        <v>0.03</v>
      </c>
      <c r="Q55" s="57">
        <f>R55*130/100</f>
        <v>1.3000000000000001E-2</v>
      </c>
      <c r="R55" s="57">
        <v>0.01</v>
      </c>
      <c r="S55" s="57">
        <f>T55*130/100</f>
        <v>0</v>
      </c>
      <c r="T55" s="57">
        <v>0</v>
      </c>
      <c r="U55" s="126">
        <v>57.69</v>
      </c>
      <c r="V55" s="57">
        <f>U55*100/130</f>
        <v>44.376923076923077</v>
      </c>
      <c r="W55" s="35">
        <v>4.47</v>
      </c>
      <c r="X55" s="65">
        <f>W55*100/130</f>
        <v>3.4384615384615387</v>
      </c>
      <c r="Y55" s="110"/>
      <c r="Z55" s="104"/>
      <c r="AA55" s="104"/>
      <c r="AB55" s="104"/>
      <c r="AC55" s="104"/>
    </row>
    <row r="56" spans="1:31" ht="15.9" customHeight="1">
      <c r="A56" s="127" t="s">
        <v>109</v>
      </c>
      <c r="B56" s="23" t="s">
        <v>110</v>
      </c>
      <c r="C56" s="38" t="s">
        <v>5</v>
      </c>
      <c r="D56" s="38" t="s">
        <v>6</v>
      </c>
      <c r="E56" s="28">
        <v>3.24</v>
      </c>
      <c r="F56" s="28">
        <v>2.4300000000000002</v>
      </c>
      <c r="G56" s="35">
        <v>1.2</v>
      </c>
      <c r="H56" s="39">
        <v>0.9</v>
      </c>
      <c r="I56" s="35">
        <f>J56*200/150</f>
        <v>0</v>
      </c>
      <c r="J56" s="39">
        <v>0</v>
      </c>
      <c r="K56" s="35">
        <v>31.6</v>
      </c>
      <c r="L56" s="39">
        <v>23.7</v>
      </c>
      <c r="M56" s="35">
        <v>126</v>
      </c>
      <c r="N56" s="39">
        <v>94.5</v>
      </c>
      <c r="O56" s="29">
        <v>0.02</v>
      </c>
      <c r="P56" s="29">
        <f>O56*150/200</f>
        <v>1.4999999999999999E-2</v>
      </c>
      <c r="Q56" s="29">
        <v>0.01</v>
      </c>
      <c r="R56" s="29">
        <f>Q56*150/200</f>
        <v>7.4999999999999997E-3</v>
      </c>
      <c r="S56" s="29">
        <v>0</v>
      </c>
      <c r="T56" s="57">
        <v>0</v>
      </c>
      <c r="U56" s="64">
        <v>25.91</v>
      </c>
      <c r="V56" s="57">
        <f>U56*150/200</f>
        <v>19.432500000000001</v>
      </c>
      <c r="W56" s="64">
        <v>0.65</v>
      </c>
      <c r="X56" s="78">
        <f>W56*150/200</f>
        <v>0.48749999999999999</v>
      </c>
      <c r="Y56" s="48"/>
      <c r="Z56" s="48"/>
      <c r="AA56" s="48"/>
      <c r="AB56" s="48"/>
      <c r="AC56" s="48"/>
      <c r="AD56" s="48"/>
      <c r="AE56" s="48"/>
    </row>
    <row r="57" spans="1:31" s="16" customFormat="1" ht="15" customHeight="1">
      <c r="A57" s="127"/>
      <c r="B57" s="23" t="s">
        <v>11</v>
      </c>
      <c r="C57" s="38" t="s">
        <v>14</v>
      </c>
      <c r="D57" s="38" t="s">
        <v>14</v>
      </c>
      <c r="E57" s="28">
        <v>1.1100000000000001</v>
      </c>
      <c r="F57" s="28">
        <v>1.1100000000000001</v>
      </c>
      <c r="G57" s="28">
        <v>1.6</v>
      </c>
      <c r="H57" s="28">
        <v>1.6</v>
      </c>
      <c r="I57" s="28">
        <v>0.4</v>
      </c>
      <c r="J57" s="28">
        <v>0.4</v>
      </c>
      <c r="K57" s="28">
        <v>10</v>
      </c>
      <c r="L57" s="28">
        <v>10</v>
      </c>
      <c r="M57" s="29">
        <v>54</v>
      </c>
      <c r="N57" s="29">
        <v>54</v>
      </c>
      <c r="O57" s="37">
        <v>0.04</v>
      </c>
      <c r="P57" s="42">
        <v>0.04</v>
      </c>
      <c r="Q57" s="37">
        <v>0.02</v>
      </c>
      <c r="R57" s="42">
        <v>0.02</v>
      </c>
      <c r="S57" s="37">
        <v>0</v>
      </c>
      <c r="T57" s="42">
        <v>0</v>
      </c>
      <c r="U57" s="37">
        <v>7.4</v>
      </c>
      <c r="V57" s="42">
        <v>7.4</v>
      </c>
      <c r="W57" s="37">
        <v>0.56000000000000005</v>
      </c>
      <c r="X57" s="42">
        <v>0.56000000000000005</v>
      </c>
      <c r="Y57" s="51"/>
      <c r="Z57" s="51"/>
      <c r="AA57" s="51"/>
      <c r="AB57" s="51"/>
      <c r="AC57" s="51"/>
      <c r="AD57" s="51"/>
      <c r="AE57" s="51"/>
    </row>
    <row r="58" spans="1:31" ht="15" customHeight="1">
      <c r="A58" s="127"/>
      <c r="B58" s="23" t="s">
        <v>48</v>
      </c>
      <c r="C58" s="38" t="s">
        <v>79</v>
      </c>
      <c r="D58" s="38" t="s">
        <v>80</v>
      </c>
      <c r="E58" s="28">
        <v>2.09</v>
      </c>
      <c r="F58" s="28">
        <v>1.83</v>
      </c>
      <c r="G58" s="28">
        <v>3.25</v>
      </c>
      <c r="H58" s="29">
        <v>2.84</v>
      </c>
      <c r="I58" s="29">
        <v>0.46</v>
      </c>
      <c r="J58" s="29">
        <f>I58*40.6/46</f>
        <v>0.40600000000000003</v>
      </c>
      <c r="K58" s="29">
        <v>20.88</v>
      </c>
      <c r="L58" s="29">
        <v>18.27</v>
      </c>
      <c r="M58" s="29">
        <v>102.08</v>
      </c>
      <c r="N58" s="29">
        <v>89.32</v>
      </c>
      <c r="O58" s="35">
        <v>0.06</v>
      </c>
      <c r="P58" s="39">
        <v>0.04</v>
      </c>
      <c r="Q58" s="35">
        <v>0.04</v>
      </c>
      <c r="R58" s="39">
        <v>0.03</v>
      </c>
      <c r="S58" s="35">
        <v>0</v>
      </c>
      <c r="T58" s="29">
        <f>S58*40.6/46</f>
        <v>0</v>
      </c>
      <c r="U58" s="37">
        <v>17</v>
      </c>
      <c r="V58" s="42">
        <v>13.6</v>
      </c>
      <c r="W58" s="37">
        <v>1.1499999999999999</v>
      </c>
      <c r="X58" s="42">
        <v>0.92</v>
      </c>
      <c r="Y58" s="48"/>
      <c r="Z58" s="48"/>
      <c r="AA58" s="48"/>
      <c r="AB58" s="48"/>
      <c r="AC58" s="48"/>
      <c r="AD58" s="48"/>
      <c r="AE58" s="48"/>
    </row>
    <row r="59" spans="1:31" ht="15" customHeight="1">
      <c r="A59" s="22"/>
      <c r="B59" s="23" t="s">
        <v>7</v>
      </c>
      <c r="C59" s="38"/>
      <c r="D59" s="38"/>
      <c r="E59" s="17">
        <f>SUM(E52:E58)</f>
        <v>45.22</v>
      </c>
      <c r="F59" s="17">
        <f>SUM(F52:F58)</f>
        <v>41.72</v>
      </c>
      <c r="G59" s="17">
        <f t="shared" ref="G59:T59" si="8">SUM(G52:G58)</f>
        <v>27.169999999999998</v>
      </c>
      <c r="H59" s="17">
        <f t="shared" si="8"/>
        <v>23.400000000000002</v>
      </c>
      <c r="I59" s="17">
        <f>SUM(I52:I58)</f>
        <v>20.72</v>
      </c>
      <c r="J59" s="17">
        <f t="shared" si="8"/>
        <v>15.326000000000001</v>
      </c>
      <c r="K59" s="17">
        <f t="shared" si="8"/>
        <v>113.25999999999999</v>
      </c>
      <c r="L59" s="17">
        <f t="shared" si="8"/>
        <v>95.35</v>
      </c>
      <c r="M59" s="17">
        <f t="shared" si="8"/>
        <v>702.93000000000006</v>
      </c>
      <c r="N59" s="17">
        <f t="shared" si="8"/>
        <v>595.91999999999996</v>
      </c>
      <c r="O59" s="17">
        <f t="shared" si="8"/>
        <v>0.36899999999999999</v>
      </c>
      <c r="P59" s="17">
        <f t="shared" si="8"/>
        <v>0.30499999999999994</v>
      </c>
      <c r="Q59" s="17">
        <f t="shared" si="8"/>
        <v>0.28300000000000003</v>
      </c>
      <c r="R59" s="17">
        <f t="shared" si="8"/>
        <v>0.26750000000000002</v>
      </c>
      <c r="S59" s="17">
        <f t="shared" si="8"/>
        <v>22.33</v>
      </c>
      <c r="T59" s="17">
        <f t="shared" si="8"/>
        <v>21.21</v>
      </c>
      <c r="U59" s="17">
        <f t="shared" ref="U59:AB59" si="9">SUM(U52:U58)</f>
        <v>134.54</v>
      </c>
      <c r="V59" s="17">
        <f t="shared" si="9"/>
        <v>90.659423076923076</v>
      </c>
      <c r="W59" s="17">
        <f t="shared" si="9"/>
        <v>8.4600000000000009</v>
      </c>
      <c r="X59" s="17">
        <f t="shared" si="9"/>
        <v>6.2559615384615377</v>
      </c>
      <c r="Y59" s="17">
        <f t="shared" si="9"/>
        <v>0</v>
      </c>
      <c r="Z59" s="17">
        <f t="shared" si="9"/>
        <v>0</v>
      </c>
      <c r="AA59" s="17">
        <f t="shared" si="9"/>
        <v>0</v>
      </c>
      <c r="AB59" s="17">
        <f t="shared" si="9"/>
        <v>0</v>
      </c>
      <c r="AC59" s="53"/>
      <c r="AD59" s="48"/>
      <c r="AE59" s="48"/>
    </row>
    <row r="60" spans="1:31" ht="15" customHeight="1">
      <c r="A60" s="22"/>
      <c r="B60" s="87" t="s">
        <v>17</v>
      </c>
      <c r="C60" s="38"/>
      <c r="D60" s="38"/>
      <c r="E60" s="28"/>
      <c r="F60" s="28"/>
      <c r="G60" s="28"/>
      <c r="H60" s="29"/>
      <c r="I60" s="29"/>
      <c r="J60" s="29"/>
      <c r="K60" s="29"/>
      <c r="L60" s="29"/>
      <c r="M60" s="29"/>
      <c r="N60" s="29"/>
      <c r="O60" s="36"/>
      <c r="P60" s="36"/>
      <c r="Q60" s="36"/>
      <c r="R60" s="36"/>
      <c r="S60" s="36"/>
      <c r="T60" s="36"/>
      <c r="U60" s="36"/>
      <c r="V60" s="36"/>
      <c r="W60" s="36"/>
      <c r="X60" s="70"/>
      <c r="Y60" s="49"/>
      <c r="Z60" s="48"/>
      <c r="AA60" s="48"/>
      <c r="AB60" s="48"/>
      <c r="AC60" s="48"/>
      <c r="AD60" s="48"/>
      <c r="AE60" s="48"/>
    </row>
    <row r="61" spans="1:31" ht="15" customHeight="1">
      <c r="A61" s="127" t="s">
        <v>23</v>
      </c>
      <c r="B61" s="23" t="s">
        <v>20</v>
      </c>
      <c r="C61" s="38" t="s">
        <v>31</v>
      </c>
      <c r="D61" s="38" t="s">
        <v>31</v>
      </c>
      <c r="E61" s="28">
        <v>10.36</v>
      </c>
      <c r="F61" s="28">
        <v>10.36</v>
      </c>
      <c r="G61" s="28">
        <v>5.31</v>
      </c>
      <c r="H61" s="29">
        <v>5.31</v>
      </c>
      <c r="I61" s="28">
        <v>4.5</v>
      </c>
      <c r="J61" s="29">
        <v>4.5</v>
      </c>
      <c r="K61" s="28">
        <v>8.91</v>
      </c>
      <c r="L61" s="29">
        <v>8.91</v>
      </c>
      <c r="M61" s="28">
        <v>97.38</v>
      </c>
      <c r="N61" s="29">
        <v>97.38</v>
      </c>
      <c r="O61" s="28">
        <v>7.0000000000000007E-2</v>
      </c>
      <c r="P61" s="29">
        <v>7.0000000000000007E-2</v>
      </c>
      <c r="Q61" s="28">
        <v>0.3</v>
      </c>
      <c r="R61" s="29">
        <v>0.3</v>
      </c>
      <c r="S61" s="28">
        <v>2.46</v>
      </c>
      <c r="T61" s="29">
        <v>2.46</v>
      </c>
      <c r="U61" s="28">
        <v>275.74</v>
      </c>
      <c r="V61" s="29">
        <v>275.74</v>
      </c>
      <c r="W61" s="28">
        <v>0.23</v>
      </c>
      <c r="X61" s="29">
        <v>0.23</v>
      </c>
      <c r="Y61" s="52"/>
      <c r="Z61" s="52"/>
      <c r="AA61" s="52"/>
      <c r="AB61" s="52"/>
      <c r="AC61" s="52"/>
      <c r="AD61" s="52"/>
      <c r="AE61" s="48"/>
    </row>
    <row r="62" spans="1:31" ht="15" customHeight="1">
      <c r="A62" s="22"/>
      <c r="B62" s="23" t="s">
        <v>7</v>
      </c>
      <c r="C62" s="38"/>
      <c r="D62" s="38"/>
      <c r="E62" s="17">
        <f>SUM(E61)</f>
        <v>10.36</v>
      </c>
      <c r="F62" s="17">
        <f>SUM(F61)</f>
        <v>10.36</v>
      </c>
      <c r="G62" s="17">
        <f t="shared" ref="G62:T62" si="10">SUM(G61)</f>
        <v>5.31</v>
      </c>
      <c r="H62" s="17">
        <f t="shared" si="10"/>
        <v>5.31</v>
      </c>
      <c r="I62" s="17">
        <f t="shared" si="10"/>
        <v>4.5</v>
      </c>
      <c r="J62" s="17">
        <f t="shared" si="10"/>
        <v>4.5</v>
      </c>
      <c r="K62" s="17">
        <f t="shared" si="10"/>
        <v>8.91</v>
      </c>
      <c r="L62" s="17">
        <f t="shared" si="10"/>
        <v>8.91</v>
      </c>
      <c r="M62" s="17">
        <f t="shared" si="10"/>
        <v>97.38</v>
      </c>
      <c r="N62" s="17">
        <f t="shared" si="10"/>
        <v>97.38</v>
      </c>
      <c r="O62" s="17">
        <f t="shared" si="10"/>
        <v>7.0000000000000007E-2</v>
      </c>
      <c r="P62" s="17">
        <f t="shared" si="10"/>
        <v>7.0000000000000007E-2</v>
      </c>
      <c r="Q62" s="17">
        <f t="shared" si="10"/>
        <v>0.3</v>
      </c>
      <c r="R62" s="17">
        <f t="shared" si="10"/>
        <v>0.3</v>
      </c>
      <c r="S62" s="17">
        <f t="shared" si="10"/>
        <v>2.46</v>
      </c>
      <c r="T62" s="17">
        <f t="shared" si="10"/>
        <v>2.46</v>
      </c>
      <c r="U62" s="17">
        <f>SUM(U61)</f>
        <v>275.74</v>
      </c>
      <c r="V62" s="17">
        <f>SUM(V61)</f>
        <v>275.74</v>
      </c>
      <c r="W62" s="17">
        <f>SUM(W61)</f>
        <v>0.23</v>
      </c>
      <c r="X62" s="17">
        <f>SUM(X61)</f>
        <v>0.23</v>
      </c>
      <c r="Y62" s="67">
        <f>SUM(Y61)</f>
        <v>0</v>
      </c>
      <c r="Z62" s="53"/>
      <c r="AA62" s="53"/>
      <c r="AB62" s="53"/>
      <c r="AC62" s="53"/>
      <c r="AD62" s="48"/>
      <c r="AE62" s="48"/>
    </row>
    <row r="63" spans="1:31" ht="15" customHeight="1">
      <c r="A63" s="22"/>
      <c r="B63" s="87" t="s">
        <v>13</v>
      </c>
      <c r="C63" s="38"/>
      <c r="D63" s="38"/>
      <c r="E63" s="28"/>
      <c r="F63" s="28"/>
      <c r="G63" s="28"/>
      <c r="H63" s="29"/>
      <c r="I63" s="29"/>
      <c r="J63" s="29"/>
      <c r="K63" s="29"/>
      <c r="L63" s="29"/>
      <c r="M63" s="29"/>
      <c r="N63" s="29"/>
      <c r="O63" s="36"/>
      <c r="P63" s="36"/>
      <c r="Q63" s="36"/>
      <c r="R63" s="36"/>
      <c r="S63" s="36"/>
      <c r="T63" s="36"/>
      <c r="U63" s="36"/>
      <c r="V63" s="36"/>
      <c r="W63" s="36"/>
      <c r="X63" s="70"/>
      <c r="Y63" s="49"/>
      <c r="Z63" s="48"/>
      <c r="AA63" s="48"/>
      <c r="AB63" s="48"/>
      <c r="AC63" s="48"/>
      <c r="AD63" s="48"/>
      <c r="AE63" s="48"/>
    </row>
    <row r="64" spans="1:31" ht="37.5" customHeight="1">
      <c r="A64" s="147" t="s">
        <v>148</v>
      </c>
      <c r="B64" s="59" t="s">
        <v>149</v>
      </c>
      <c r="C64" s="148" t="s">
        <v>150</v>
      </c>
      <c r="D64" s="148" t="s">
        <v>64</v>
      </c>
      <c r="E64" s="125">
        <v>56.05</v>
      </c>
      <c r="F64" s="125">
        <v>36.06</v>
      </c>
      <c r="G64" s="125">
        <v>20.86</v>
      </c>
      <c r="H64" s="149">
        <v>14.1</v>
      </c>
      <c r="I64" s="149">
        <v>21.4</v>
      </c>
      <c r="J64" s="149">
        <v>14.72</v>
      </c>
      <c r="K64" s="149">
        <v>25.76</v>
      </c>
      <c r="L64" s="149">
        <v>18.5</v>
      </c>
      <c r="M64" s="149">
        <v>379.18</v>
      </c>
      <c r="N64" s="149">
        <v>262.98</v>
      </c>
      <c r="O64" s="150">
        <v>0.14000000000000001</v>
      </c>
      <c r="P64" s="150">
        <v>0.11</v>
      </c>
      <c r="Q64" s="149">
        <v>0.1</v>
      </c>
      <c r="R64" s="150">
        <v>7.0000000000000007E-2</v>
      </c>
      <c r="S64" s="150">
        <v>2.0760000000000001</v>
      </c>
      <c r="T64" s="150">
        <v>1.42</v>
      </c>
      <c r="U64" s="28">
        <f>V64*150/100</f>
        <v>211.92</v>
      </c>
      <c r="V64" s="29">
        <v>141.28</v>
      </c>
      <c r="W64" s="28">
        <f>X64*150/100</f>
        <v>1.425</v>
      </c>
      <c r="X64" s="29">
        <v>0.95</v>
      </c>
      <c r="Y64" s="1"/>
      <c r="Z64" s="52"/>
      <c r="AA64" s="52"/>
      <c r="AB64" s="52"/>
    </row>
    <row r="65" spans="1:33" ht="15" customHeight="1">
      <c r="A65" s="128" t="s">
        <v>87</v>
      </c>
      <c r="B65" s="62" t="s">
        <v>88</v>
      </c>
      <c r="C65" s="60" t="s">
        <v>5</v>
      </c>
      <c r="D65" s="60" t="s">
        <v>6</v>
      </c>
      <c r="E65" s="56">
        <v>0.55000000000000004</v>
      </c>
      <c r="F65" s="56">
        <v>0.41</v>
      </c>
      <c r="G65" s="56">
        <v>0.18</v>
      </c>
      <c r="H65" s="57">
        <v>0.13</v>
      </c>
      <c r="I65" s="56">
        <f>J65*200/150</f>
        <v>0</v>
      </c>
      <c r="J65" s="57">
        <v>0</v>
      </c>
      <c r="K65" s="56">
        <v>4.78</v>
      </c>
      <c r="L65" s="57">
        <v>3.58</v>
      </c>
      <c r="M65" s="56">
        <v>19.899999999999999</v>
      </c>
      <c r="N65" s="57">
        <v>14.92</v>
      </c>
      <c r="O65" s="56">
        <f>P65*200/150</f>
        <v>1.3333333333333334E-2</v>
      </c>
      <c r="P65" s="64">
        <v>0.01</v>
      </c>
      <c r="Q65" s="56">
        <f>R65*200/150</f>
        <v>1.3333333333333334E-2</v>
      </c>
      <c r="R65" s="64">
        <v>0.01</v>
      </c>
      <c r="S65" s="56">
        <v>0.04</v>
      </c>
      <c r="T65" s="64">
        <v>0.03</v>
      </c>
      <c r="U65" s="56">
        <f>V65*200/150</f>
        <v>5.0533333333333337</v>
      </c>
      <c r="V65" s="64">
        <v>3.79</v>
      </c>
      <c r="W65" s="56">
        <f>X65*200/150</f>
        <v>0.84</v>
      </c>
      <c r="X65" s="116">
        <v>0.63</v>
      </c>
      <c r="Y65" s="48"/>
      <c r="Z65" s="48"/>
      <c r="AA65" s="48"/>
      <c r="AB65" s="48"/>
      <c r="AC65" s="48"/>
      <c r="AD65" s="48"/>
      <c r="AE65" s="48"/>
    </row>
    <row r="66" spans="1:33" s="16" customFormat="1" ht="15" customHeight="1">
      <c r="A66" s="127"/>
      <c r="B66" s="23" t="s">
        <v>11</v>
      </c>
      <c r="C66" s="38" t="s">
        <v>14</v>
      </c>
      <c r="D66" s="38" t="s">
        <v>14</v>
      </c>
      <c r="E66" s="28">
        <v>1.1100000000000001</v>
      </c>
      <c r="F66" s="28">
        <v>1.1100000000000001</v>
      </c>
      <c r="G66" s="28">
        <v>1.6</v>
      </c>
      <c r="H66" s="28">
        <v>1.6</v>
      </c>
      <c r="I66" s="28">
        <v>0.4</v>
      </c>
      <c r="J66" s="28">
        <v>0.4</v>
      </c>
      <c r="K66" s="28">
        <v>10</v>
      </c>
      <c r="L66" s="28">
        <v>10</v>
      </c>
      <c r="M66" s="29">
        <v>54</v>
      </c>
      <c r="N66" s="29">
        <v>54</v>
      </c>
      <c r="O66" s="37">
        <v>0.04</v>
      </c>
      <c r="P66" s="42">
        <v>0.04</v>
      </c>
      <c r="Q66" s="37">
        <v>0.02</v>
      </c>
      <c r="R66" s="42">
        <v>0.02</v>
      </c>
      <c r="S66" s="37">
        <v>0</v>
      </c>
      <c r="T66" s="42">
        <v>0</v>
      </c>
      <c r="U66" s="37">
        <v>7.4</v>
      </c>
      <c r="V66" s="42">
        <v>7.4</v>
      </c>
      <c r="W66" s="37">
        <v>0.56000000000000005</v>
      </c>
      <c r="X66" s="42">
        <v>0.56000000000000005</v>
      </c>
      <c r="Y66" s="51"/>
      <c r="Z66" s="51"/>
      <c r="AA66" s="51"/>
      <c r="AB66" s="51"/>
      <c r="AC66" s="51"/>
      <c r="AD66" s="51"/>
      <c r="AE66" s="51"/>
    </row>
    <row r="67" spans="1:33" ht="15" customHeight="1">
      <c r="A67" s="22"/>
      <c r="B67" s="23" t="s">
        <v>7</v>
      </c>
      <c r="C67" s="38"/>
      <c r="D67" s="38"/>
      <c r="E67" s="17">
        <f t="shared" ref="E67:X67" si="11">SUM(E64:E66)</f>
        <v>57.709999999999994</v>
      </c>
      <c r="F67" s="17">
        <f t="shared" si="11"/>
        <v>37.58</v>
      </c>
      <c r="G67" s="17">
        <f t="shared" si="11"/>
        <v>22.64</v>
      </c>
      <c r="H67" s="17">
        <f t="shared" si="11"/>
        <v>15.83</v>
      </c>
      <c r="I67" s="17">
        <f t="shared" si="11"/>
        <v>21.799999999999997</v>
      </c>
      <c r="J67" s="17">
        <f t="shared" si="11"/>
        <v>15.120000000000001</v>
      </c>
      <c r="K67" s="17">
        <f t="shared" si="11"/>
        <v>40.540000000000006</v>
      </c>
      <c r="L67" s="17">
        <f t="shared" si="11"/>
        <v>32.08</v>
      </c>
      <c r="M67" s="17">
        <f t="shared" si="11"/>
        <v>453.08</v>
      </c>
      <c r="N67" s="17">
        <f t="shared" si="11"/>
        <v>331.90000000000003</v>
      </c>
      <c r="O67" s="17">
        <f t="shared" si="11"/>
        <v>0.19333333333333336</v>
      </c>
      <c r="P67" s="17">
        <f t="shared" si="11"/>
        <v>0.16</v>
      </c>
      <c r="Q67" s="17">
        <f t="shared" si="11"/>
        <v>0.13333333333333333</v>
      </c>
      <c r="R67" s="17">
        <f t="shared" si="11"/>
        <v>0.1</v>
      </c>
      <c r="S67" s="17">
        <f t="shared" si="11"/>
        <v>2.1160000000000001</v>
      </c>
      <c r="T67" s="17">
        <f t="shared" si="11"/>
        <v>1.45</v>
      </c>
      <c r="U67" s="17">
        <f t="shared" si="11"/>
        <v>224.37333333333333</v>
      </c>
      <c r="V67" s="17">
        <f t="shared" si="11"/>
        <v>152.47</v>
      </c>
      <c r="W67" s="17">
        <f t="shared" si="11"/>
        <v>2.8250000000000002</v>
      </c>
      <c r="X67" s="67">
        <f t="shared" si="11"/>
        <v>2.14</v>
      </c>
      <c r="Y67" s="58"/>
      <c r="Z67" s="53"/>
      <c r="AA67" s="53"/>
      <c r="AB67" s="53"/>
      <c r="AC67" s="53"/>
      <c r="AD67" s="48"/>
      <c r="AE67" s="48"/>
    </row>
    <row r="68" spans="1:33" ht="15" customHeight="1">
      <c r="A68" s="22"/>
      <c r="B68" s="23" t="s">
        <v>15</v>
      </c>
      <c r="C68" s="38"/>
      <c r="D68" s="38"/>
      <c r="E68" s="17">
        <f>E67+E62+E59+E50+E47</f>
        <v>135.22999999999999</v>
      </c>
      <c r="F68" s="17">
        <f t="shared" ref="F68:T68" si="12">F67+F62+F59+F50+F47</f>
        <v>108.86</v>
      </c>
      <c r="G68" s="17">
        <f t="shared" si="12"/>
        <v>66.72999999999999</v>
      </c>
      <c r="H68" s="17">
        <f t="shared" si="12"/>
        <v>54.220000000000006</v>
      </c>
      <c r="I68" s="17">
        <f t="shared" si="12"/>
        <v>58.849999999999994</v>
      </c>
      <c r="J68" s="17">
        <f t="shared" si="12"/>
        <v>44.576000000000001</v>
      </c>
      <c r="K68" s="17">
        <f t="shared" si="12"/>
        <v>225.40999999999997</v>
      </c>
      <c r="L68" s="17">
        <f t="shared" si="12"/>
        <v>190.41999999999996</v>
      </c>
      <c r="M68" s="17">
        <f t="shared" si="12"/>
        <v>1657.2</v>
      </c>
      <c r="N68" s="17">
        <f t="shared" si="12"/>
        <v>1366.97</v>
      </c>
      <c r="O68" s="17">
        <f t="shared" si="12"/>
        <v>0.82633333333333336</v>
      </c>
      <c r="P68" s="17">
        <f t="shared" si="12"/>
        <v>0.67583333333333329</v>
      </c>
      <c r="Q68" s="17">
        <f t="shared" si="12"/>
        <v>1.0603333333333333</v>
      </c>
      <c r="R68" s="17">
        <f t="shared" si="12"/>
        <v>0.9325</v>
      </c>
      <c r="S68" s="17">
        <f t="shared" si="12"/>
        <v>32.775999999999996</v>
      </c>
      <c r="T68" s="17">
        <f t="shared" si="12"/>
        <v>30.53</v>
      </c>
      <c r="U68" s="17">
        <f>U67+U62+U59+U50+U47</f>
        <v>954.35333333333324</v>
      </c>
      <c r="V68" s="17">
        <f>V67+V62+V59+V50+V47</f>
        <v>762.70942307692314</v>
      </c>
      <c r="W68" s="17">
        <f>W67+W62+W59+W50+W47</f>
        <v>13.357000000000001</v>
      </c>
      <c r="X68" s="17">
        <f>X67+X62+X59+X50+X47</f>
        <v>9.9909615384615407</v>
      </c>
      <c r="Y68" s="67">
        <f>Y67+Y62+Y59+Y50+Y47</f>
        <v>0</v>
      </c>
      <c r="Z68" s="53"/>
      <c r="AA68" s="53"/>
      <c r="AB68" s="53"/>
      <c r="AC68" s="53"/>
      <c r="AD68" s="48"/>
      <c r="AE68" s="48"/>
    </row>
    <row r="69" spans="1:33" ht="15" customHeight="1">
      <c r="A69" s="22"/>
      <c r="B69" s="144" t="s">
        <v>164</v>
      </c>
      <c r="C69" s="38"/>
      <c r="D69" s="38"/>
      <c r="E69" s="17"/>
      <c r="F69" s="28"/>
      <c r="G69" s="28"/>
      <c r="H69" s="29"/>
      <c r="I69" s="29"/>
      <c r="J69" s="29"/>
      <c r="K69" s="29"/>
      <c r="L69" s="29"/>
      <c r="M69" s="29"/>
      <c r="N69" s="29"/>
      <c r="O69" s="36"/>
      <c r="P69" s="36"/>
      <c r="Q69" s="36"/>
      <c r="R69" s="36"/>
      <c r="S69" s="36"/>
      <c r="T69" s="36"/>
      <c r="U69" s="36"/>
      <c r="V69" s="36"/>
      <c r="W69" s="36"/>
      <c r="X69" s="70"/>
      <c r="Y69" s="49"/>
      <c r="Z69" s="48"/>
      <c r="AA69" s="48"/>
      <c r="AB69" s="48"/>
      <c r="AC69" s="48"/>
      <c r="AD69" s="48"/>
      <c r="AE69" s="48"/>
    </row>
    <row r="70" spans="1:33" ht="15" customHeight="1">
      <c r="A70" s="22"/>
      <c r="B70" s="87" t="s">
        <v>4</v>
      </c>
      <c r="C70" s="38"/>
      <c r="D70" s="38"/>
      <c r="E70" s="28"/>
      <c r="F70" s="28"/>
      <c r="G70" s="28"/>
      <c r="H70" s="29"/>
      <c r="I70" s="29"/>
      <c r="J70" s="29"/>
      <c r="K70" s="29"/>
      <c r="L70" s="29"/>
      <c r="M70" s="29"/>
      <c r="N70" s="29"/>
      <c r="O70" s="36"/>
      <c r="P70" s="36"/>
      <c r="Q70" s="36"/>
      <c r="R70" s="36"/>
      <c r="S70" s="36"/>
      <c r="T70" s="36"/>
      <c r="U70" s="36"/>
      <c r="V70" s="36"/>
      <c r="W70" s="36"/>
      <c r="X70" s="70"/>
      <c r="Y70" s="49"/>
      <c r="Z70" s="48"/>
      <c r="AA70" s="48"/>
      <c r="AB70" s="48"/>
      <c r="AC70" s="48"/>
      <c r="AD70" s="48"/>
      <c r="AE70" s="48"/>
    </row>
    <row r="71" spans="1:33" s="7" customFormat="1" ht="15" customHeight="1">
      <c r="A71" s="127" t="s">
        <v>65</v>
      </c>
      <c r="B71" s="23" t="s">
        <v>169</v>
      </c>
      <c r="C71" s="38" t="s">
        <v>170</v>
      </c>
      <c r="D71" s="38" t="s">
        <v>170</v>
      </c>
      <c r="E71" s="28">
        <v>6.68</v>
      </c>
      <c r="F71" s="28">
        <v>6.68</v>
      </c>
      <c r="G71" s="28">
        <v>2.93</v>
      </c>
      <c r="H71" s="29">
        <v>2.93</v>
      </c>
      <c r="I71" s="28">
        <v>6.05</v>
      </c>
      <c r="J71" s="29">
        <v>6.05</v>
      </c>
      <c r="K71" s="28">
        <v>10.4</v>
      </c>
      <c r="L71" s="29">
        <v>10.4</v>
      </c>
      <c r="M71" s="28">
        <v>107.77</v>
      </c>
      <c r="N71" s="29">
        <v>107.77</v>
      </c>
      <c r="O71" s="29">
        <v>0.08</v>
      </c>
      <c r="P71" s="29">
        <f>O71*40/60</f>
        <v>5.3333333333333337E-2</v>
      </c>
      <c r="Q71" s="29">
        <v>0.06</v>
      </c>
      <c r="R71" s="29">
        <f>Q71*40/60</f>
        <v>0.04</v>
      </c>
      <c r="S71" s="28">
        <v>0.14000000000000001</v>
      </c>
      <c r="T71" s="29">
        <v>0.14000000000000001</v>
      </c>
      <c r="U71" s="37">
        <v>13.6</v>
      </c>
      <c r="V71" s="42">
        <v>8.6</v>
      </c>
      <c r="W71" s="37">
        <v>0.81</v>
      </c>
      <c r="X71" s="42">
        <v>0.49</v>
      </c>
      <c r="Y71" s="71"/>
      <c r="Z71" s="71"/>
      <c r="AA71" s="71"/>
      <c r="AB71" s="71"/>
      <c r="AC71" s="71"/>
      <c r="AD71" s="71"/>
    </row>
    <row r="72" spans="1:33" ht="27.75" customHeight="1">
      <c r="A72" s="128" t="s">
        <v>56</v>
      </c>
      <c r="B72" s="59" t="s">
        <v>77</v>
      </c>
      <c r="C72" s="111" t="s">
        <v>91</v>
      </c>
      <c r="D72" s="111" t="s">
        <v>92</v>
      </c>
      <c r="E72" s="73">
        <v>12.1</v>
      </c>
      <c r="F72" s="73">
        <v>9.4600000000000009</v>
      </c>
      <c r="G72" s="73">
        <v>3.1</v>
      </c>
      <c r="H72" s="73">
        <v>2.4</v>
      </c>
      <c r="I72" s="73">
        <v>5</v>
      </c>
      <c r="J72" s="73">
        <v>3.8</v>
      </c>
      <c r="K72" s="73">
        <v>21.1</v>
      </c>
      <c r="L72" s="73">
        <v>16</v>
      </c>
      <c r="M72" s="73">
        <v>140</v>
      </c>
      <c r="N72" s="73">
        <v>107.8</v>
      </c>
      <c r="O72" s="123">
        <v>0.1</v>
      </c>
      <c r="P72" s="124">
        <f>O72*150/200</f>
        <v>7.4999999999999997E-2</v>
      </c>
      <c r="Q72" s="123">
        <v>0.25</v>
      </c>
      <c r="R72" s="124">
        <f>Q72*150/200</f>
        <v>0.1875</v>
      </c>
      <c r="S72" s="123">
        <v>0</v>
      </c>
      <c r="T72" s="73">
        <f>S72*153/203</f>
        <v>0</v>
      </c>
      <c r="U72" s="61">
        <v>175.2</v>
      </c>
      <c r="V72" s="57">
        <v>164.9</v>
      </c>
      <c r="W72" s="61">
        <v>0.9</v>
      </c>
      <c r="X72" s="78">
        <f>W72*150/200</f>
        <v>0.67500000000000004</v>
      </c>
      <c r="Y72" s="48"/>
      <c r="Z72" s="48"/>
      <c r="AA72" s="48"/>
      <c r="AB72" s="48"/>
      <c r="AC72" s="48"/>
      <c r="AD72" s="48"/>
      <c r="AE72" s="48"/>
    </row>
    <row r="73" spans="1:33" ht="15.9" customHeight="1">
      <c r="A73" s="127" t="s">
        <v>51</v>
      </c>
      <c r="B73" s="23" t="s">
        <v>54</v>
      </c>
      <c r="C73" s="38" t="s">
        <v>31</v>
      </c>
      <c r="D73" s="38" t="s">
        <v>6</v>
      </c>
      <c r="E73" s="28">
        <v>6.01</v>
      </c>
      <c r="F73" s="28">
        <v>4.84</v>
      </c>
      <c r="G73" s="28">
        <v>2.85</v>
      </c>
      <c r="H73" s="29">
        <v>2.34</v>
      </c>
      <c r="I73" s="28">
        <v>2.41</v>
      </c>
      <c r="J73" s="29">
        <v>2</v>
      </c>
      <c r="K73" s="28">
        <v>14.36</v>
      </c>
      <c r="L73" s="29">
        <v>10.63</v>
      </c>
      <c r="M73" s="28">
        <v>91</v>
      </c>
      <c r="N73" s="29">
        <v>70</v>
      </c>
      <c r="O73" s="28">
        <f>P73*180/150</f>
        <v>1.2E-2</v>
      </c>
      <c r="P73" s="39">
        <v>0.01</v>
      </c>
      <c r="Q73" s="28">
        <f>R73*180/150</f>
        <v>8.4000000000000005E-2</v>
      </c>
      <c r="R73" s="39">
        <v>7.0000000000000007E-2</v>
      </c>
      <c r="S73" s="28">
        <v>1.17</v>
      </c>
      <c r="T73" s="29">
        <f>S73*150/180</f>
        <v>0.97499999999999998</v>
      </c>
      <c r="U73" s="28">
        <f>V73*180/150</f>
        <v>57.515999999999998</v>
      </c>
      <c r="V73" s="39">
        <v>47.93</v>
      </c>
      <c r="W73" s="28">
        <f>X73*180/150</f>
        <v>0.26400000000000001</v>
      </c>
      <c r="X73" s="39">
        <v>0.22</v>
      </c>
      <c r="Y73" s="48"/>
      <c r="Z73" s="48"/>
      <c r="AA73" s="48"/>
      <c r="AB73" s="48"/>
      <c r="AC73" s="48"/>
      <c r="AD73" s="48"/>
      <c r="AE73" s="48"/>
    </row>
    <row r="74" spans="1:33" ht="15" customHeight="1">
      <c r="A74" s="22"/>
      <c r="B74" s="23" t="s">
        <v>7</v>
      </c>
      <c r="C74" s="38"/>
      <c r="D74" s="38"/>
      <c r="E74" s="17">
        <f>SUM(E71:E73)</f>
        <v>24.79</v>
      </c>
      <c r="F74" s="17">
        <f>SUM(F71:F73)</f>
        <v>20.98</v>
      </c>
      <c r="G74" s="17">
        <f t="shared" ref="G74:T74" si="13">SUM(G71:G73)</f>
        <v>8.8800000000000008</v>
      </c>
      <c r="H74" s="17">
        <f t="shared" si="13"/>
        <v>7.67</v>
      </c>
      <c r="I74" s="17">
        <f t="shared" si="13"/>
        <v>13.46</v>
      </c>
      <c r="J74" s="17">
        <f t="shared" si="13"/>
        <v>11.85</v>
      </c>
      <c r="K74" s="17">
        <f t="shared" si="13"/>
        <v>45.86</v>
      </c>
      <c r="L74" s="17">
        <f t="shared" si="13"/>
        <v>37.03</v>
      </c>
      <c r="M74" s="17">
        <f t="shared" si="13"/>
        <v>338.77</v>
      </c>
      <c r="N74" s="17">
        <f t="shared" si="13"/>
        <v>285.57</v>
      </c>
      <c r="O74" s="17">
        <f t="shared" si="13"/>
        <v>0.192</v>
      </c>
      <c r="P74" s="17">
        <f t="shared" si="13"/>
        <v>0.13833333333333334</v>
      </c>
      <c r="Q74" s="17">
        <f t="shared" si="13"/>
        <v>0.39400000000000002</v>
      </c>
      <c r="R74" s="17">
        <f t="shared" si="13"/>
        <v>0.29749999999999999</v>
      </c>
      <c r="S74" s="17">
        <f t="shared" si="13"/>
        <v>1.31</v>
      </c>
      <c r="T74" s="17">
        <f t="shared" si="13"/>
        <v>1.115</v>
      </c>
      <c r="U74" s="17">
        <f t="shared" ref="U74:AB74" si="14">SUM(U71:U73)</f>
        <v>246.31599999999997</v>
      </c>
      <c r="V74" s="17">
        <f t="shared" si="14"/>
        <v>221.43</v>
      </c>
      <c r="W74" s="17">
        <f t="shared" si="14"/>
        <v>1.974</v>
      </c>
      <c r="X74" s="17">
        <f t="shared" si="14"/>
        <v>1.385</v>
      </c>
      <c r="Y74" s="17">
        <f t="shared" si="14"/>
        <v>0</v>
      </c>
      <c r="Z74" s="17">
        <f t="shared" si="14"/>
        <v>0</v>
      </c>
      <c r="AA74" s="17">
        <f t="shared" si="14"/>
        <v>0</v>
      </c>
      <c r="AB74" s="17">
        <f t="shared" si="14"/>
        <v>0</v>
      </c>
      <c r="AC74" s="53"/>
      <c r="AD74" s="53"/>
      <c r="AE74" s="48"/>
    </row>
    <row r="75" spans="1:33" ht="15" customHeight="1">
      <c r="A75" s="22"/>
      <c r="B75" s="87" t="s">
        <v>16</v>
      </c>
      <c r="C75" s="38"/>
      <c r="D75" s="38"/>
      <c r="E75" s="28"/>
      <c r="F75" s="28"/>
      <c r="G75" s="28"/>
      <c r="H75" s="29"/>
      <c r="I75" s="29"/>
      <c r="J75" s="29"/>
      <c r="K75" s="29"/>
      <c r="L75" s="29"/>
      <c r="M75" s="29"/>
      <c r="N75" s="29"/>
      <c r="O75" s="36"/>
      <c r="P75" s="36"/>
      <c r="Q75" s="36"/>
      <c r="R75" s="36"/>
      <c r="S75" s="36"/>
      <c r="T75" s="36"/>
      <c r="U75" s="36"/>
      <c r="V75" s="36"/>
      <c r="W75" s="36"/>
      <c r="X75" s="70"/>
      <c r="Y75" s="49"/>
      <c r="Z75" s="48"/>
      <c r="AA75" s="48"/>
      <c r="AB75" s="48"/>
      <c r="AC75" s="48"/>
      <c r="AD75" s="48"/>
      <c r="AE75" s="48"/>
    </row>
    <row r="76" spans="1:33" ht="15" customHeight="1">
      <c r="A76" s="128" t="s">
        <v>25</v>
      </c>
      <c r="B76" s="59" t="s">
        <v>75</v>
      </c>
      <c r="C76" s="60" t="s">
        <v>6</v>
      </c>
      <c r="D76" s="60" t="s">
        <v>6</v>
      </c>
      <c r="E76" s="56">
        <v>12.36</v>
      </c>
      <c r="F76" s="56">
        <v>12.36</v>
      </c>
      <c r="G76" s="61">
        <f>H76*150/135</f>
        <v>5</v>
      </c>
      <c r="H76" s="61">
        <v>4.5</v>
      </c>
      <c r="I76" s="61">
        <f>J76*150/135</f>
        <v>4.177777777777778</v>
      </c>
      <c r="J76" s="61">
        <v>3.76</v>
      </c>
      <c r="K76" s="61">
        <f>L76*150/135</f>
        <v>6.666666666666667</v>
      </c>
      <c r="L76" s="61">
        <v>6</v>
      </c>
      <c r="M76" s="61">
        <v>75.760000000000005</v>
      </c>
      <c r="N76" s="61">
        <v>75.760000000000005</v>
      </c>
      <c r="O76" s="61">
        <f>P76*180/150</f>
        <v>0.06</v>
      </c>
      <c r="P76" s="61">
        <v>0.05</v>
      </c>
      <c r="Q76" s="61">
        <f>R76*180/150</f>
        <v>0.31200000000000006</v>
      </c>
      <c r="R76" s="61">
        <v>0.26</v>
      </c>
      <c r="S76" s="61">
        <f>T76*150/135</f>
        <v>1.2222222222222223</v>
      </c>
      <c r="T76" s="61">
        <v>1.1000000000000001</v>
      </c>
      <c r="U76" s="28">
        <v>235.31</v>
      </c>
      <c r="V76" s="29">
        <f>U76*150/180</f>
        <v>196.09166666666667</v>
      </c>
      <c r="W76" s="28">
        <v>0.19</v>
      </c>
      <c r="X76" s="69">
        <f>W76*150/180</f>
        <v>0.15833333333333333</v>
      </c>
      <c r="Y76" s="54"/>
      <c r="Z76" s="52"/>
      <c r="AA76" s="52"/>
      <c r="AB76" s="52"/>
      <c r="AC76" s="52"/>
      <c r="AD76" s="52"/>
    </row>
    <row r="77" spans="1:33" ht="15" customHeight="1">
      <c r="A77" s="22"/>
      <c r="B77" s="23" t="s">
        <v>7</v>
      </c>
      <c r="C77" s="38"/>
      <c r="D77" s="38"/>
      <c r="E77" s="17">
        <f>SUM(E76)</f>
        <v>12.36</v>
      </c>
      <c r="F77" s="17">
        <f>SUM(F76)</f>
        <v>12.36</v>
      </c>
      <c r="G77" s="17">
        <f t="shared" ref="G77:T77" si="15">SUM(G76)</f>
        <v>5</v>
      </c>
      <c r="H77" s="17">
        <f t="shared" si="15"/>
        <v>4.5</v>
      </c>
      <c r="I77" s="17">
        <f t="shared" si="15"/>
        <v>4.177777777777778</v>
      </c>
      <c r="J77" s="17">
        <f t="shared" si="15"/>
        <v>3.76</v>
      </c>
      <c r="K77" s="17">
        <f t="shared" si="15"/>
        <v>6.666666666666667</v>
      </c>
      <c r="L77" s="17">
        <f t="shared" si="15"/>
        <v>6</v>
      </c>
      <c r="M77" s="17">
        <f t="shared" si="15"/>
        <v>75.760000000000005</v>
      </c>
      <c r="N77" s="17">
        <f t="shared" si="15"/>
        <v>75.760000000000005</v>
      </c>
      <c r="O77" s="17">
        <f t="shared" si="15"/>
        <v>0.06</v>
      </c>
      <c r="P77" s="17">
        <f t="shared" si="15"/>
        <v>0.05</v>
      </c>
      <c r="Q77" s="17">
        <f t="shared" si="15"/>
        <v>0.31200000000000006</v>
      </c>
      <c r="R77" s="17">
        <f t="shared" si="15"/>
        <v>0.26</v>
      </c>
      <c r="S77" s="17">
        <f t="shared" si="15"/>
        <v>1.2222222222222223</v>
      </c>
      <c r="T77" s="17">
        <f t="shared" si="15"/>
        <v>1.1000000000000001</v>
      </c>
      <c r="U77" s="17">
        <f>SUM(U76)</f>
        <v>235.31</v>
      </c>
      <c r="V77" s="17">
        <f>SUM(V76)</f>
        <v>196.09166666666667</v>
      </c>
      <c r="W77" s="17">
        <f>SUM(W76)</f>
        <v>0.19</v>
      </c>
      <c r="X77" s="17">
        <f>SUM(X76)</f>
        <v>0.15833333333333333</v>
      </c>
      <c r="Y77" s="67">
        <f>SUM(Y76)</f>
        <v>0</v>
      </c>
      <c r="Z77" s="53"/>
      <c r="AA77" s="53"/>
      <c r="AB77" s="53"/>
      <c r="AC77" s="53"/>
      <c r="AD77" s="48"/>
      <c r="AE77" s="48"/>
    </row>
    <row r="78" spans="1:33" ht="15" customHeight="1">
      <c r="A78" s="22"/>
      <c r="B78" s="87" t="s">
        <v>9</v>
      </c>
      <c r="C78" s="38"/>
      <c r="D78" s="38"/>
      <c r="E78" s="28"/>
      <c r="F78" s="28"/>
      <c r="G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69"/>
      <c r="Y78" s="54"/>
      <c r="Z78" s="52"/>
      <c r="AA78" s="52"/>
      <c r="AB78" s="52"/>
      <c r="AC78" s="52"/>
      <c r="AD78" s="48"/>
      <c r="AE78" s="48"/>
    </row>
    <row r="79" spans="1:33" ht="18" customHeight="1">
      <c r="A79" s="128" t="s">
        <v>172</v>
      </c>
      <c r="B79" s="23" t="s">
        <v>173</v>
      </c>
      <c r="C79" s="38" t="s">
        <v>30</v>
      </c>
      <c r="D79" s="38" t="s">
        <v>102</v>
      </c>
      <c r="E79" s="28">
        <v>5.12</v>
      </c>
      <c r="F79" s="28">
        <v>4.2699999999999996</v>
      </c>
      <c r="G79" s="28">
        <v>0.79</v>
      </c>
      <c r="H79" s="29">
        <v>0.66</v>
      </c>
      <c r="I79" s="28">
        <v>4.0999999999999996</v>
      </c>
      <c r="J79" s="29">
        <v>3.42</v>
      </c>
      <c r="K79" s="28">
        <v>8.2899999999999991</v>
      </c>
      <c r="L79" s="29">
        <v>6.9</v>
      </c>
      <c r="M79" s="28">
        <v>64.3</v>
      </c>
      <c r="N79" s="29">
        <v>53.58</v>
      </c>
      <c r="O79" s="29">
        <v>0.02</v>
      </c>
      <c r="P79" s="29">
        <f>O79*45/60</f>
        <v>1.5000000000000001E-2</v>
      </c>
      <c r="Q79" s="29">
        <v>0.02</v>
      </c>
      <c r="R79" s="29">
        <f>Q79*45/60</f>
        <v>1.5000000000000001E-2</v>
      </c>
      <c r="S79" s="28">
        <v>3.66</v>
      </c>
      <c r="T79" s="29">
        <v>3.05</v>
      </c>
      <c r="U79" s="132">
        <v>20.69</v>
      </c>
      <c r="V79" s="81">
        <v>0</v>
      </c>
      <c r="W79" s="132">
        <v>0.78</v>
      </c>
      <c r="X79" s="81">
        <v>0</v>
      </c>
    </row>
    <row r="80" spans="1:33" s="7" customFormat="1" ht="27" customHeight="1">
      <c r="A80" s="128" t="s">
        <v>108</v>
      </c>
      <c r="B80" s="62" t="s">
        <v>147</v>
      </c>
      <c r="C80" s="60" t="s">
        <v>142</v>
      </c>
      <c r="D80" s="60" t="s">
        <v>143</v>
      </c>
      <c r="E80" s="56">
        <v>5.19</v>
      </c>
      <c r="F80" s="56">
        <v>3.65</v>
      </c>
      <c r="G80" s="61">
        <v>1.74</v>
      </c>
      <c r="H80" s="61">
        <v>1.34</v>
      </c>
      <c r="I80" s="61">
        <v>4.1900000000000004</v>
      </c>
      <c r="J80" s="61">
        <v>3.33</v>
      </c>
      <c r="K80" s="61">
        <v>8.16</v>
      </c>
      <c r="L80" s="61">
        <v>6.16</v>
      </c>
      <c r="M80" s="61">
        <v>77.3</v>
      </c>
      <c r="N80" s="61">
        <v>60</v>
      </c>
      <c r="O80" s="57">
        <v>0.09</v>
      </c>
      <c r="P80" s="61">
        <f>O80*170/220</f>
        <v>6.9545454545454535E-2</v>
      </c>
      <c r="Q80" s="57">
        <v>0.1</v>
      </c>
      <c r="R80" s="61">
        <f>Q80*170/220</f>
        <v>7.7272727272727271E-2</v>
      </c>
      <c r="S80" s="57">
        <v>14.81</v>
      </c>
      <c r="T80" s="61">
        <v>11.12</v>
      </c>
      <c r="U80" s="57">
        <v>37.33</v>
      </c>
      <c r="V80" s="61">
        <f>U80*170/220</f>
        <v>28.845909090909089</v>
      </c>
      <c r="W80" s="57">
        <v>1.39</v>
      </c>
      <c r="X80" s="145">
        <f>W80*170/220</f>
        <v>1.074090909090909</v>
      </c>
      <c r="Y80" s="146"/>
      <c r="Z80" s="79"/>
      <c r="AA80" s="79"/>
      <c r="AB80" s="79"/>
      <c r="AC80" s="71"/>
      <c r="AD80" s="71"/>
      <c r="AE80" s="71"/>
      <c r="AF80" s="71"/>
      <c r="AG80" s="71"/>
    </row>
    <row r="81" spans="1:31" ht="19.5" customHeight="1">
      <c r="A81" s="143" t="s">
        <v>138</v>
      </c>
      <c r="B81" s="25" t="s">
        <v>139</v>
      </c>
      <c r="C81" s="38" t="s">
        <v>140</v>
      </c>
      <c r="D81" s="38" t="s">
        <v>140</v>
      </c>
      <c r="E81" s="28">
        <v>16.190000000000001</v>
      </c>
      <c r="F81" s="28">
        <v>16.190000000000001</v>
      </c>
      <c r="G81" s="28">
        <v>16.7</v>
      </c>
      <c r="H81" s="28">
        <v>16.7</v>
      </c>
      <c r="I81" s="28">
        <v>4</v>
      </c>
      <c r="J81" s="28">
        <v>4</v>
      </c>
      <c r="K81" s="29">
        <v>3.01</v>
      </c>
      <c r="L81" s="28">
        <v>3.01</v>
      </c>
      <c r="M81" s="29">
        <v>115.12</v>
      </c>
      <c r="N81" s="28">
        <v>115.12</v>
      </c>
      <c r="O81" s="29">
        <v>7.0000000000000007E-2</v>
      </c>
      <c r="P81" s="28">
        <v>7.0000000000000007E-2</v>
      </c>
      <c r="Q81" s="29">
        <v>0.06</v>
      </c>
      <c r="R81" s="28">
        <v>0.06</v>
      </c>
      <c r="S81" s="29">
        <v>0.59</v>
      </c>
      <c r="T81" s="28">
        <v>0.59</v>
      </c>
      <c r="U81" s="29">
        <v>10.67</v>
      </c>
      <c r="V81" s="28">
        <v>10.67</v>
      </c>
      <c r="W81" s="29">
        <v>1.35</v>
      </c>
      <c r="X81" s="28">
        <v>1.35</v>
      </c>
      <c r="Z81" s="48"/>
      <c r="AA81" s="48"/>
      <c r="AB81" s="48"/>
      <c r="AC81" s="48"/>
      <c r="AD81" s="48"/>
      <c r="AE81" s="48"/>
    </row>
    <row r="82" spans="1:31" ht="15.75" customHeight="1">
      <c r="A82" s="127" t="s">
        <v>28</v>
      </c>
      <c r="B82" s="25" t="s">
        <v>141</v>
      </c>
      <c r="C82" s="38" t="s">
        <v>78</v>
      </c>
      <c r="D82" s="38" t="s">
        <v>96</v>
      </c>
      <c r="E82" s="28">
        <v>3.63</v>
      </c>
      <c r="F82" s="28">
        <v>2.79</v>
      </c>
      <c r="G82" s="28">
        <v>1.95</v>
      </c>
      <c r="H82" s="28">
        <f>G82*100/130</f>
        <v>1.5</v>
      </c>
      <c r="I82" s="28">
        <v>5.07</v>
      </c>
      <c r="J82" s="28">
        <f>I82*100/130</f>
        <v>3.9</v>
      </c>
      <c r="K82" s="28">
        <v>19.89</v>
      </c>
      <c r="L82" s="28">
        <f>K82*100/130</f>
        <v>15.3</v>
      </c>
      <c r="M82" s="28">
        <v>132.99</v>
      </c>
      <c r="N82" s="28">
        <f>M82*100/130</f>
        <v>102.3</v>
      </c>
      <c r="O82" s="28">
        <f>P82*1.3</f>
        <v>0.24700000000000003</v>
      </c>
      <c r="P82" s="29">
        <v>0.19</v>
      </c>
      <c r="Q82" s="28">
        <f>R82*1.3</f>
        <v>5.2000000000000005E-2</v>
      </c>
      <c r="R82" s="29">
        <v>0.04</v>
      </c>
      <c r="S82" s="28">
        <f>T82*150/100</f>
        <v>0</v>
      </c>
      <c r="T82" s="29">
        <v>0</v>
      </c>
      <c r="U82" s="28">
        <f>V82*1.3</f>
        <v>31.628999999999998</v>
      </c>
      <c r="V82" s="29">
        <v>24.33</v>
      </c>
      <c r="W82" s="28">
        <f>X82*1.3</f>
        <v>1.222</v>
      </c>
      <c r="X82" s="29">
        <v>0.94</v>
      </c>
      <c r="Z82" s="52"/>
      <c r="AA82" s="52"/>
      <c r="AB82" s="52"/>
      <c r="AC82" s="48"/>
    </row>
    <row r="83" spans="1:31" ht="15.9" customHeight="1">
      <c r="A83" s="128" t="s">
        <v>109</v>
      </c>
      <c r="B83" s="59" t="s">
        <v>122</v>
      </c>
      <c r="C83" s="60" t="s">
        <v>5</v>
      </c>
      <c r="D83" s="60" t="s">
        <v>6</v>
      </c>
      <c r="E83" s="56">
        <v>3.2</v>
      </c>
      <c r="F83" s="56">
        <v>2.4</v>
      </c>
      <c r="G83" s="61">
        <v>0.4</v>
      </c>
      <c r="H83" s="63">
        <v>0.3</v>
      </c>
      <c r="I83" s="61">
        <f>J83*200/150</f>
        <v>0</v>
      </c>
      <c r="J83" s="63">
        <v>0</v>
      </c>
      <c r="K83" s="61">
        <v>27.4</v>
      </c>
      <c r="L83" s="63">
        <v>20.5</v>
      </c>
      <c r="M83" s="61">
        <v>111.2</v>
      </c>
      <c r="N83" s="63">
        <v>83.2</v>
      </c>
      <c r="O83" s="57">
        <v>0.02</v>
      </c>
      <c r="P83" s="57">
        <f>O83*150/200</f>
        <v>1.4999999999999999E-2</v>
      </c>
      <c r="Q83" s="57">
        <v>0.01</v>
      </c>
      <c r="R83" s="57">
        <f>Q83*150/200</f>
        <v>7.4999999999999997E-3</v>
      </c>
      <c r="S83" s="57">
        <v>0</v>
      </c>
      <c r="T83" s="57">
        <v>0</v>
      </c>
      <c r="U83" s="64">
        <v>25.91</v>
      </c>
      <c r="V83" s="57">
        <f>U83*150/200</f>
        <v>19.432500000000001</v>
      </c>
      <c r="W83" s="64">
        <v>0.65</v>
      </c>
      <c r="X83" s="78">
        <f>W83*150/200</f>
        <v>0.48749999999999999</v>
      </c>
      <c r="Y83" s="48"/>
      <c r="Z83" s="48"/>
      <c r="AA83" s="48"/>
      <c r="AB83" s="48"/>
      <c r="AC83" s="48"/>
      <c r="AD83" s="48"/>
      <c r="AE83" s="48"/>
    </row>
    <row r="84" spans="1:31" s="16" customFormat="1" ht="15" customHeight="1">
      <c r="A84" s="127"/>
      <c r="B84" s="23" t="s">
        <v>11</v>
      </c>
      <c r="C84" s="38" t="s">
        <v>14</v>
      </c>
      <c r="D84" s="38" t="s">
        <v>14</v>
      </c>
      <c r="E84" s="28">
        <v>1.1100000000000001</v>
      </c>
      <c r="F84" s="28">
        <v>1.1100000000000001</v>
      </c>
      <c r="G84" s="28">
        <v>1.6</v>
      </c>
      <c r="H84" s="28">
        <v>1.6</v>
      </c>
      <c r="I84" s="28">
        <v>0.4</v>
      </c>
      <c r="J84" s="28">
        <v>0.4</v>
      </c>
      <c r="K84" s="28">
        <v>10</v>
      </c>
      <c r="L84" s="28">
        <v>10</v>
      </c>
      <c r="M84" s="29">
        <v>54</v>
      </c>
      <c r="N84" s="29">
        <v>54</v>
      </c>
      <c r="O84" s="37">
        <v>0.04</v>
      </c>
      <c r="P84" s="42">
        <v>0.04</v>
      </c>
      <c r="Q84" s="37">
        <v>0.02</v>
      </c>
      <c r="R84" s="42">
        <v>0.02</v>
      </c>
      <c r="S84" s="37">
        <v>0</v>
      </c>
      <c r="T84" s="42">
        <v>0</v>
      </c>
      <c r="U84" s="37">
        <v>7.4</v>
      </c>
      <c r="V84" s="42">
        <v>7.4</v>
      </c>
      <c r="W84" s="37">
        <v>0.56000000000000005</v>
      </c>
      <c r="X84" s="42">
        <v>0.56000000000000005</v>
      </c>
      <c r="Y84" s="51"/>
      <c r="Z84" s="51"/>
      <c r="AA84" s="51"/>
      <c r="AB84" s="51"/>
      <c r="AC84" s="51"/>
      <c r="AD84" s="51"/>
      <c r="AE84" s="51"/>
    </row>
    <row r="85" spans="1:31" ht="15" customHeight="1">
      <c r="A85" s="127"/>
      <c r="B85" s="23" t="s">
        <v>48</v>
      </c>
      <c r="C85" s="38" t="s">
        <v>79</v>
      </c>
      <c r="D85" s="38" t="s">
        <v>80</v>
      </c>
      <c r="E85" s="28">
        <v>2.09</v>
      </c>
      <c r="F85" s="28">
        <v>1.83</v>
      </c>
      <c r="G85" s="28">
        <v>3.25</v>
      </c>
      <c r="H85" s="29">
        <v>2.84</v>
      </c>
      <c r="I85" s="29">
        <v>0.46</v>
      </c>
      <c r="J85" s="29">
        <f>I85*40.6/46</f>
        <v>0.40600000000000003</v>
      </c>
      <c r="K85" s="29">
        <v>20.88</v>
      </c>
      <c r="L85" s="29">
        <v>18.27</v>
      </c>
      <c r="M85" s="29">
        <v>102.08</v>
      </c>
      <c r="N85" s="29">
        <v>89.32</v>
      </c>
      <c r="O85" s="35">
        <v>0.06</v>
      </c>
      <c r="P85" s="39">
        <v>0.04</v>
      </c>
      <c r="Q85" s="35">
        <v>0.04</v>
      </c>
      <c r="R85" s="39">
        <v>0.03</v>
      </c>
      <c r="S85" s="35">
        <v>0</v>
      </c>
      <c r="T85" s="29">
        <f>S85*40.6/46</f>
        <v>0</v>
      </c>
      <c r="U85" s="37">
        <v>17</v>
      </c>
      <c r="V85" s="42">
        <v>13.6</v>
      </c>
      <c r="W85" s="37">
        <v>1.1499999999999999</v>
      </c>
      <c r="X85" s="42">
        <v>0.92</v>
      </c>
      <c r="Y85" s="48"/>
      <c r="Z85" s="48"/>
      <c r="AA85" s="48"/>
      <c r="AB85" s="48"/>
      <c r="AC85" s="48"/>
      <c r="AD85" s="48"/>
      <c r="AE85" s="48"/>
    </row>
    <row r="86" spans="1:31" ht="15" customHeight="1">
      <c r="A86" s="22"/>
      <c r="B86" s="23" t="s">
        <v>7</v>
      </c>
      <c r="C86" s="38"/>
      <c r="D86" s="38"/>
      <c r="E86" s="17">
        <f>SUM(E79:E85)</f>
        <v>36.53</v>
      </c>
      <c r="F86" s="17">
        <f>SUM(F79:F85)</f>
        <v>32.239999999999995</v>
      </c>
      <c r="G86" s="17">
        <f t="shared" ref="G86:T86" si="16">SUM(G79:G85)</f>
        <v>26.43</v>
      </c>
      <c r="H86" s="17">
        <f t="shared" si="16"/>
        <v>24.94</v>
      </c>
      <c r="I86" s="17">
        <f>SUM(I79:I85)+2</f>
        <v>20.22</v>
      </c>
      <c r="J86" s="17">
        <f>SUM(J79:J85)+0</f>
        <v>15.456000000000001</v>
      </c>
      <c r="K86" s="17">
        <f>SUM(K79:K85)+11</f>
        <v>108.63</v>
      </c>
      <c r="L86" s="17">
        <f t="shared" si="16"/>
        <v>80.14</v>
      </c>
      <c r="M86" s="17">
        <f>SUM(M79:M85)+30</f>
        <v>686.99000000000012</v>
      </c>
      <c r="N86" s="17">
        <f>SUM(N79:N85)+0</f>
        <v>557.52</v>
      </c>
      <c r="O86" s="17">
        <f t="shared" si="16"/>
        <v>0.54700000000000004</v>
      </c>
      <c r="P86" s="17">
        <f t="shared" si="16"/>
        <v>0.43954545454545452</v>
      </c>
      <c r="Q86" s="17">
        <f t="shared" si="16"/>
        <v>0.30199999999999999</v>
      </c>
      <c r="R86" s="17">
        <f t="shared" si="16"/>
        <v>0.24977272727272729</v>
      </c>
      <c r="S86" s="17">
        <f t="shared" si="16"/>
        <v>19.059999999999999</v>
      </c>
      <c r="T86" s="17">
        <f t="shared" si="16"/>
        <v>14.759999999999998</v>
      </c>
      <c r="U86" s="17">
        <f>SUM(U79:U85)</f>
        <v>150.62899999999999</v>
      </c>
      <c r="V86" s="17">
        <f>SUM(V79:V85)</f>
        <v>104.27840909090909</v>
      </c>
      <c r="W86" s="17">
        <f>SUM(W79:W85)-2</f>
        <v>5.1020000000000003</v>
      </c>
      <c r="X86" s="67">
        <f>SUM(X79:X85)-2</f>
        <v>3.3315909090909086</v>
      </c>
      <c r="Y86" s="58"/>
      <c r="Z86" s="53"/>
      <c r="AA86" s="53"/>
      <c r="AB86" s="53"/>
      <c r="AC86" s="53"/>
      <c r="AD86" s="48"/>
      <c r="AE86" s="48"/>
    </row>
    <row r="87" spans="1:31" ht="15" customHeight="1">
      <c r="A87" s="22"/>
      <c r="B87" s="87" t="s">
        <v>17</v>
      </c>
      <c r="C87" s="38"/>
      <c r="D87" s="38"/>
      <c r="E87" s="28"/>
      <c r="F87" s="28"/>
      <c r="G87" s="28"/>
      <c r="H87" s="29"/>
      <c r="I87" s="29"/>
      <c r="J87" s="29"/>
      <c r="K87" s="29"/>
      <c r="L87" s="29"/>
      <c r="M87" s="29"/>
      <c r="N87" s="29"/>
      <c r="O87" s="36"/>
      <c r="P87" s="36"/>
      <c r="Q87" s="36"/>
      <c r="R87" s="36"/>
      <c r="S87" s="36"/>
      <c r="T87" s="36"/>
      <c r="U87" s="36"/>
      <c r="V87" s="36"/>
      <c r="W87" s="36"/>
      <c r="X87" s="70"/>
      <c r="Y87" s="49"/>
      <c r="Z87" s="48"/>
      <c r="AA87" s="48"/>
      <c r="AB87" s="48"/>
      <c r="AC87" s="48"/>
      <c r="AD87" s="48"/>
      <c r="AE87" s="48"/>
    </row>
    <row r="88" spans="1:31" ht="15" customHeight="1">
      <c r="A88" s="127" t="s">
        <v>23</v>
      </c>
      <c r="B88" s="23" t="s">
        <v>20</v>
      </c>
      <c r="C88" s="38" t="s">
        <v>31</v>
      </c>
      <c r="D88" s="38" t="s">
        <v>31</v>
      </c>
      <c r="E88" s="28">
        <v>10.36</v>
      </c>
      <c r="F88" s="28">
        <v>10.36</v>
      </c>
      <c r="G88" s="28">
        <v>5.31</v>
      </c>
      <c r="H88" s="29">
        <v>5.31</v>
      </c>
      <c r="I88" s="28">
        <v>4.5</v>
      </c>
      <c r="J88" s="29">
        <v>4.5</v>
      </c>
      <c r="K88" s="28">
        <v>8.91</v>
      </c>
      <c r="L88" s="29">
        <v>8.91</v>
      </c>
      <c r="M88" s="28">
        <v>97.38</v>
      </c>
      <c r="N88" s="29">
        <v>97.38</v>
      </c>
      <c r="O88" s="28">
        <v>7.0000000000000007E-2</v>
      </c>
      <c r="P88" s="29">
        <v>7.0000000000000007E-2</v>
      </c>
      <c r="Q88" s="28">
        <v>0.3</v>
      </c>
      <c r="R88" s="29">
        <v>0.3</v>
      </c>
      <c r="S88" s="28">
        <v>2.46</v>
      </c>
      <c r="T88" s="29">
        <v>2.46</v>
      </c>
      <c r="U88" s="28">
        <v>275.74</v>
      </c>
      <c r="V88" s="29">
        <v>275.74</v>
      </c>
      <c r="W88" s="28">
        <v>0.23</v>
      </c>
      <c r="X88" s="29">
        <v>0.23</v>
      </c>
      <c r="Y88" s="52"/>
      <c r="Z88" s="52"/>
      <c r="AA88" s="52"/>
      <c r="AB88" s="52"/>
      <c r="AC88" s="52"/>
      <c r="AD88" s="52"/>
      <c r="AE88" s="48"/>
    </row>
    <row r="89" spans="1:31" ht="15" customHeight="1">
      <c r="A89" s="22"/>
      <c r="B89" s="23" t="s">
        <v>7</v>
      </c>
      <c r="C89" s="38"/>
      <c r="D89" s="38"/>
      <c r="E89" s="17">
        <f>SUM(E88)</f>
        <v>10.36</v>
      </c>
      <c r="F89" s="17">
        <f>SUM(F88)</f>
        <v>10.36</v>
      </c>
      <c r="G89" s="17">
        <f t="shared" ref="G89:T89" si="17">SUM(G88)</f>
        <v>5.31</v>
      </c>
      <c r="H89" s="17">
        <f t="shared" si="17"/>
        <v>5.31</v>
      </c>
      <c r="I89" s="17">
        <f t="shared" si="17"/>
        <v>4.5</v>
      </c>
      <c r="J89" s="17">
        <f t="shared" si="17"/>
        <v>4.5</v>
      </c>
      <c r="K89" s="17">
        <f t="shared" si="17"/>
        <v>8.91</v>
      </c>
      <c r="L89" s="17">
        <f t="shared" si="17"/>
        <v>8.91</v>
      </c>
      <c r="M89" s="17">
        <f t="shared" si="17"/>
        <v>97.38</v>
      </c>
      <c r="N89" s="17">
        <f t="shared" si="17"/>
        <v>97.38</v>
      </c>
      <c r="O89" s="17">
        <f t="shared" si="17"/>
        <v>7.0000000000000007E-2</v>
      </c>
      <c r="P89" s="17">
        <f t="shared" si="17"/>
        <v>7.0000000000000007E-2</v>
      </c>
      <c r="Q89" s="17">
        <f t="shared" si="17"/>
        <v>0.3</v>
      </c>
      <c r="R89" s="17">
        <f t="shared" si="17"/>
        <v>0.3</v>
      </c>
      <c r="S89" s="17">
        <f t="shared" si="17"/>
        <v>2.46</v>
      </c>
      <c r="T89" s="17">
        <f t="shared" si="17"/>
        <v>2.46</v>
      </c>
      <c r="U89" s="17">
        <f t="shared" ref="U89:AB89" si="18">SUM(U88)</f>
        <v>275.74</v>
      </c>
      <c r="V89" s="17">
        <f t="shared" si="18"/>
        <v>275.74</v>
      </c>
      <c r="W89" s="17">
        <f t="shared" si="18"/>
        <v>0.23</v>
      </c>
      <c r="X89" s="17">
        <f t="shared" si="18"/>
        <v>0.23</v>
      </c>
      <c r="Y89" s="17">
        <f t="shared" si="18"/>
        <v>0</v>
      </c>
      <c r="Z89" s="17">
        <f t="shared" si="18"/>
        <v>0</v>
      </c>
      <c r="AA89" s="17">
        <f t="shared" si="18"/>
        <v>0</v>
      </c>
      <c r="AB89" s="17">
        <f t="shared" si="18"/>
        <v>0</v>
      </c>
      <c r="AC89" s="53"/>
      <c r="AD89" s="48"/>
      <c r="AE89" s="48"/>
    </row>
    <row r="90" spans="1:31" ht="15" customHeight="1">
      <c r="A90" s="26"/>
      <c r="B90" s="87" t="s">
        <v>13</v>
      </c>
      <c r="C90" s="38"/>
      <c r="D90" s="38"/>
      <c r="E90" s="28"/>
      <c r="F90" s="28"/>
      <c r="G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36"/>
      <c r="U90" s="36"/>
      <c r="V90" s="36"/>
      <c r="W90" s="36"/>
      <c r="X90" s="70"/>
      <c r="Y90" s="49"/>
      <c r="Z90" s="48"/>
      <c r="AA90" s="48"/>
      <c r="AB90" s="48"/>
      <c r="AC90" s="48"/>
      <c r="AD90" s="48"/>
      <c r="AE90" s="48"/>
    </row>
    <row r="91" spans="1:31" ht="15" customHeight="1">
      <c r="A91" s="128"/>
      <c r="B91" s="59" t="s">
        <v>146</v>
      </c>
      <c r="C91" s="60" t="s">
        <v>6</v>
      </c>
      <c r="D91" s="60" t="s">
        <v>6</v>
      </c>
      <c r="E91" s="56">
        <v>13.09</v>
      </c>
      <c r="F91" s="56">
        <v>13.09</v>
      </c>
      <c r="G91" s="56">
        <v>0.59</v>
      </c>
      <c r="H91" s="57">
        <v>0.59</v>
      </c>
      <c r="I91" s="56">
        <v>0</v>
      </c>
      <c r="J91" s="57">
        <v>0</v>
      </c>
      <c r="K91" s="56">
        <v>14.51</v>
      </c>
      <c r="L91" s="57">
        <v>14.51</v>
      </c>
      <c r="M91" s="56">
        <v>56.26</v>
      </c>
      <c r="N91" s="57">
        <v>56.26</v>
      </c>
      <c r="O91" s="56">
        <v>0.02</v>
      </c>
      <c r="P91" s="57">
        <v>0.02</v>
      </c>
      <c r="Q91" s="56">
        <f>R91*160/150</f>
        <v>5.3333333333333337E-2</v>
      </c>
      <c r="R91" s="57">
        <v>0.05</v>
      </c>
      <c r="S91" s="56">
        <v>23.69</v>
      </c>
      <c r="T91" s="57">
        <v>23.69</v>
      </c>
      <c r="U91" s="36"/>
      <c r="V91" s="36"/>
      <c r="W91" s="36"/>
      <c r="X91" s="70"/>
      <c r="Y91" s="49"/>
      <c r="Z91" s="48"/>
      <c r="AA91" s="48"/>
      <c r="AB91" s="48"/>
    </row>
    <row r="92" spans="1:31" s="7" customFormat="1" ht="16.5" customHeight="1">
      <c r="A92" s="128" t="s">
        <v>89</v>
      </c>
      <c r="B92" s="62" t="s">
        <v>90</v>
      </c>
      <c r="C92" s="60" t="s">
        <v>31</v>
      </c>
      <c r="D92" s="60" t="s">
        <v>6</v>
      </c>
      <c r="E92" s="73">
        <v>11.33</v>
      </c>
      <c r="F92" s="56">
        <v>9.44</v>
      </c>
      <c r="G92" s="57">
        <f>H92*180/150</f>
        <v>3.6</v>
      </c>
      <c r="H92" s="57">
        <v>3</v>
      </c>
      <c r="I92" s="57">
        <f>J92*180/150</f>
        <v>14.94</v>
      </c>
      <c r="J92" s="57">
        <v>12.45</v>
      </c>
      <c r="K92" s="57">
        <f>L92*180/150</f>
        <v>20.7</v>
      </c>
      <c r="L92" s="57">
        <v>17.25</v>
      </c>
      <c r="M92" s="57">
        <f>N92*180/150</f>
        <v>231.66</v>
      </c>
      <c r="N92" s="57">
        <v>193.05</v>
      </c>
      <c r="O92" s="66">
        <v>0</v>
      </c>
      <c r="P92" s="75">
        <v>0.1</v>
      </c>
      <c r="Q92" s="66">
        <v>0.09</v>
      </c>
      <c r="R92" s="75">
        <v>0.06</v>
      </c>
      <c r="S92" s="57">
        <f>T92*180/150</f>
        <v>9.48</v>
      </c>
      <c r="T92" s="75">
        <v>7.9</v>
      </c>
      <c r="U92" s="29">
        <v>23.97</v>
      </c>
      <c r="V92" s="29">
        <v>23.97</v>
      </c>
      <c r="W92" s="29">
        <v>0.61</v>
      </c>
      <c r="X92" s="69">
        <v>0.61</v>
      </c>
      <c r="Y92" s="115"/>
      <c r="Z92" s="79"/>
      <c r="AA92" s="79"/>
      <c r="AB92" s="79"/>
    </row>
    <row r="93" spans="1:31" ht="15" customHeight="1">
      <c r="A93" s="128" t="s">
        <v>87</v>
      </c>
      <c r="B93" s="62" t="s">
        <v>88</v>
      </c>
      <c r="C93" s="60" t="s">
        <v>5</v>
      </c>
      <c r="D93" s="60" t="s">
        <v>6</v>
      </c>
      <c r="E93" s="56">
        <v>0.55000000000000004</v>
      </c>
      <c r="F93" s="56">
        <v>0.41</v>
      </c>
      <c r="G93" s="56">
        <v>0.18</v>
      </c>
      <c r="H93" s="57">
        <v>0.13</v>
      </c>
      <c r="I93" s="56">
        <f>J93*200/150</f>
        <v>0</v>
      </c>
      <c r="J93" s="57">
        <v>0</v>
      </c>
      <c r="K93" s="56">
        <v>4.78</v>
      </c>
      <c r="L93" s="57">
        <v>3.58</v>
      </c>
      <c r="M93" s="56">
        <v>19.899999999999999</v>
      </c>
      <c r="N93" s="57">
        <v>14.92</v>
      </c>
      <c r="O93" s="56">
        <f>P93*200/150</f>
        <v>1.3333333333333334E-2</v>
      </c>
      <c r="P93" s="64">
        <v>0.01</v>
      </c>
      <c r="Q93" s="56">
        <f>R93*200/150</f>
        <v>1.3333333333333334E-2</v>
      </c>
      <c r="R93" s="64">
        <v>0.01</v>
      </c>
      <c r="S93" s="56">
        <v>0.04</v>
      </c>
      <c r="T93" s="64">
        <v>0.03</v>
      </c>
      <c r="U93" s="56">
        <f>V93*200/150</f>
        <v>5.0533333333333337</v>
      </c>
      <c r="V93" s="64">
        <v>3.79</v>
      </c>
      <c r="W93" s="56">
        <f>X93*200/150</f>
        <v>0.84</v>
      </c>
      <c r="X93" s="116">
        <v>0.63</v>
      </c>
      <c r="Y93" s="48"/>
      <c r="Z93" s="48"/>
      <c r="AA93" s="48"/>
      <c r="AB93" s="48"/>
      <c r="AC93" s="48"/>
      <c r="AD93" s="48"/>
      <c r="AE93" s="48"/>
    </row>
    <row r="94" spans="1:31" s="16" customFormat="1" ht="15" customHeight="1">
      <c r="A94" s="127"/>
      <c r="B94" s="23" t="s">
        <v>11</v>
      </c>
      <c r="C94" s="38" t="s">
        <v>14</v>
      </c>
      <c r="D94" s="38" t="s">
        <v>14</v>
      </c>
      <c r="E94" s="28">
        <v>1.1100000000000001</v>
      </c>
      <c r="F94" s="28">
        <v>1.1100000000000001</v>
      </c>
      <c r="G94" s="28">
        <v>1.6</v>
      </c>
      <c r="H94" s="28">
        <v>1.6</v>
      </c>
      <c r="I94" s="28">
        <v>0.4</v>
      </c>
      <c r="J94" s="28">
        <v>0.4</v>
      </c>
      <c r="K94" s="28">
        <v>10</v>
      </c>
      <c r="L94" s="28">
        <v>10</v>
      </c>
      <c r="M94" s="29">
        <v>54</v>
      </c>
      <c r="N94" s="29">
        <v>54</v>
      </c>
      <c r="O94" s="37">
        <v>0.04</v>
      </c>
      <c r="P94" s="42">
        <v>0.04</v>
      </c>
      <c r="Q94" s="37">
        <v>0.02</v>
      </c>
      <c r="R94" s="42">
        <v>0.02</v>
      </c>
      <c r="S94" s="37">
        <v>0</v>
      </c>
      <c r="T94" s="42">
        <v>0</v>
      </c>
      <c r="U94" s="37">
        <v>7.4</v>
      </c>
      <c r="V94" s="42">
        <v>7.4</v>
      </c>
      <c r="W94" s="37">
        <v>0.56000000000000005</v>
      </c>
      <c r="X94" s="42">
        <v>0.56000000000000005</v>
      </c>
      <c r="Y94" s="51"/>
      <c r="Z94" s="51"/>
      <c r="AA94" s="51"/>
      <c r="AB94" s="51"/>
      <c r="AC94" s="51"/>
      <c r="AD94" s="51"/>
      <c r="AE94" s="51"/>
    </row>
    <row r="95" spans="1:31" ht="15" customHeight="1">
      <c r="A95" s="22"/>
      <c r="B95" s="23" t="s">
        <v>7</v>
      </c>
      <c r="C95" s="38"/>
      <c r="D95" s="38"/>
      <c r="E95" s="17">
        <f t="shared" ref="E95:T95" si="19">SUM(E91:E94)</f>
        <v>26.080000000000002</v>
      </c>
      <c r="F95" s="17">
        <f t="shared" si="19"/>
        <v>24.05</v>
      </c>
      <c r="G95" s="17">
        <f t="shared" si="19"/>
        <v>5.9700000000000006</v>
      </c>
      <c r="H95" s="17">
        <f t="shared" si="19"/>
        <v>5.32</v>
      </c>
      <c r="I95" s="17">
        <f t="shared" si="19"/>
        <v>15.34</v>
      </c>
      <c r="J95" s="17">
        <f t="shared" si="19"/>
        <v>12.85</v>
      </c>
      <c r="K95" s="17">
        <f t="shared" si="19"/>
        <v>49.99</v>
      </c>
      <c r="L95" s="17">
        <f t="shared" si="19"/>
        <v>45.339999999999996</v>
      </c>
      <c r="M95" s="17">
        <f t="shared" si="19"/>
        <v>361.82</v>
      </c>
      <c r="N95" s="17">
        <f t="shared" si="19"/>
        <v>318.23</v>
      </c>
      <c r="O95" s="17">
        <f t="shared" si="19"/>
        <v>7.3333333333333334E-2</v>
      </c>
      <c r="P95" s="17">
        <f t="shared" si="19"/>
        <v>0.17</v>
      </c>
      <c r="Q95" s="17">
        <f t="shared" si="19"/>
        <v>0.17666666666666667</v>
      </c>
      <c r="R95" s="17">
        <f t="shared" si="19"/>
        <v>0.13999999999999999</v>
      </c>
      <c r="S95" s="17">
        <f t="shared" si="19"/>
        <v>33.21</v>
      </c>
      <c r="T95" s="17">
        <f t="shared" si="19"/>
        <v>31.620000000000005</v>
      </c>
      <c r="U95" s="17">
        <f>SUM(U92:U94)</f>
        <v>36.423333333333332</v>
      </c>
      <c r="V95" s="17">
        <f>SUM(V92:V94)</f>
        <v>35.159999999999997</v>
      </c>
      <c r="W95" s="17">
        <f>SUM(W92:W94)</f>
        <v>2.0099999999999998</v>
      </c>
      <c r="X95" s="17">
        <f>SUM(X92:X94)</f>
        <v>1.8</v>
      </c>
      <c r="Y95" s="67">
        <f>SUM(Y92:Y94)</f>
        <v>0</v>
      </c>
      <c r="Z95" s="53"/>
      <c r="AA95" s="53"/>
      <c r="AB95" s="53"/>
      <c r="AC95" s="53"/>
      <c r="AD95" s="48"/>
      <c r="AE95" s="48"/>
    </row>
    <row r="96" spans="1:31" ht="15" customHeight="1">
      <c r="A96" s="22"/>
      <c r="B96" s="23" t="s">
        <v>15</v>
      </c>
      <c r="C96" s="38"/>
      <c r="D96" s="28"/>
      <c r="E96" s="17">
        <f t="shared" ref="E96:V96" si="20">E95+E89+E86+E77+E74</f>
        <v>110.12</v>
      </c>
      <c r="F96" s="17">
        <f t="shared" si="20"/>
        <v>99.99</v>
      </c>
      <c r="G96" s="17">
        <f t="shared" si="20"/>
        <v>51.59</v>
      </c>
      <c r="H96" s="17">
        <f t="shared" si="20"/>
        <v>47.74</v>
      </c>
      <c r="I96" s="17">
        <f t="shared" si="20"/>
        <v>57.69777777777778</v>
      </c>
      <c r="J96" s="17">
        <f t="shared" si="20"/>
        <v>48.416000000000004</v>
      </c>
      <c r="K96" s="17">
        <f t="shared" si="20"/>
        <v>220.05666666666667</v>
      </c>
      <c r="L96" s="17">
        <f t="shared" si="20"/>
        <v>177.42</v>
      </c>
      <c r="M96" s="17">
        <f t="shared" si="20"/>
        <v>1560.72</v>
      </c>
      <c r="N96" s="17">
        <f t="shared" si="20"/>
        <v>1334.46</v>
      </c>
      <c r="O96" s="17">
        <f t="shared" si="20"/>
        <v>0.94233333333333325</v>
      </c>
      <c r="P96" s="17">
        <f t="shared" si="20"/>
        <v>0.86787878787878792</v>
      </c>
      <c r="Q96" s="17">
        <f t="shared" si="20"/>
        <v>1.4846666666666666</v>
      </c>
      <c r="R96" s="17">
        <f t="shared" si="20"/>
        <v>1.2472727272727271</v>
      </c>
      <c r="S96" s="17">
        <f t="shared" si="20"/>
        <v>57.262222222222228</v>
      </c>
      <c r="T96" s="17">
        <f t="shared" si="20"/>
        <v>51.055000000000007</v>
      </c>
      <c r="U96" s="44">
        <f t="shared" si="20"/>
        <v>944.41833333333329</v>
      </c>
      <c r="V96" s="17">
        <f t="shared" si="20"/>
        <v>832.70007575757586</v>
      </c>
      <c r="W96" s="17">
        <f>W95+W89+W86+W77+W74-4</f>
        <v>5.5060000000000002</v>
      </c>
      <c r="X96" s="67">
        <f>X95+X89+X86+X77+X74-1</f>
        <v>5.9049242424242419</v>
      </c>
      <c r="Y96" s="58"/>
      <c r="Z96" s="53"/>
      <c r="AA96" s="53"/>
      <c r="AB96" s="53"/>
      <c r="AC96" s="53"/>
      <c r="AD96" s="48"/>
      <c r="AE96" s="48"/>
    </row>
    <row r="97" spans="1:33" ht="15" customHeight="1">
      <c r="A97" s="22"/>
      <c r="B97" s="144" t="s">
        <v>165</v>
      </c>
      <c r="C97" s="38"/>
      <c r="D97" s="38"/>
      <c r="E97" s="28"/>
      <c r="F97" s="28"/>
      <c r="G97" s="28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36"/>
      <c r="U97" s="36"/>
      <c r="V97" s="36"/>
      <c r="W97" s="36"/>
      <c r="X97" s="70"/>
      <c r="Y97" s="49"/>
      <c r="Z97" s="48"/>
      <c r="AA97" s="48"/>
      <c r="AB97" s="48"/>
      <c r="AC97" s="48"/>
      <c r="AD97" s="122"/>
      <c r="AE97" s="122"/>
    </row>
    <row r="98" spans="1:33" ht="15" customHeight="1">
      <c r="A98" s="22"/>
      <c r="B98" s="87" t="s">
        <v>4</v>
      </c>
      <c r="C98" s="38"/>
      <c r="D98" s="38"/>
      <c r="E98" s="28"/>
      <c r="F98" s="28"/>
      <c r="G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36"/>
      <c r="U98" s="36"/>
      <c r="V98" s="36"/>
      <c r="W98" s="36"/>
      <c r="X98" s="70"/>
      <c r="Y98" s="49"/>
      <c r="Z98" s="48"/>
      <c r="AA98" s="48"/>
      <c r="AB98" s="48"/>
      <c r="AC98" s="48"/>
      <c r="AD98" s="48"/>
      <c r="AE98" s="48"/>
    </row>
    <row r="99" spans="1:33" s="7" customFormat="1" ht="15" customHeight="1">
      <c r="A99" s="127" t="s">
        <v>53</v>
      </c>
      <c r="B99" s="23" t="s">
        <v>55</v>
      </c>
      <c r="C99" s="38" t="s">
        <v>86</v>
      </c>
      <c r="D99" s="38" t="s">
        <v>86</v>
      </c>
      <c r="E99" s="28">
        <v>4.03</v>
      </c>
      <c r="F99" s="28">
        <v>4.03</v>
      </c>
      <c r="G99" s="28">
        <v>1.63</v>
      </c>
      <c r="H99" s="29">
        <v>1.63</v>
      </c>
      <c r="I99" s="29">
        <v>4.7</v>
      </c>
      <c r="J99" s="29">
        <v>4.7</v>
      </c>
      <c r="K99" s="29">
        <v>10.4</v>
      </c>
      <c r="L99" s="29">
        <v>10.4</v>
      </c>
      <c r="M99" s="29">
        <v>90.42</v>
      </c>
      <c r="N99" s="29">
        <v>90.42</v>
      </c>
      <c r="O99" s="35">
        <v>0.08</v>
      </c>
      <c r="P99" s="39">
        <v>0.05</v>
      </c>
      <c r="Q99" s="35">
        <v>0.04</v>
      </c>
      <c r="R99" s="39">
        <v>0.02</v>
      </c>
      <c r="S99" s="35">
        <v>0</v>
      </c>
      <c r="T99" s="29">
        <f>S99*25/45</f>
        <v>0</v>
      </c>
      <c r="U99" s="37">
        <v>13.6</v>
      </c>
      <c r="V99" s="42">
        <v>8.6</v>
      </c>
      <c r="W99" s="37">
        <v>0.81</v>
      </c>
      <c r="X99" s="42">
        <v>0.49</v>
      </c>
      <c r="Y99" s="71"/>
      <c r="Z99" s="71"/>
      <c r="AA99" s="71"/>
      <c r="AB99" s="71"/>
      <c r="AC99" s="71"/>
      <c r="AD99" s="71"/>
    </row>
    <row r="100" spans="1:33" ht="27.75" customHeight="1">
      <c r="A100" s="128" t="s">
        <v>56</v>
      </c>
      <c r="B100" s="107" t="s">
        <v>116</v>
      </c>
      <c r="C100" s="60" t="s">
        <v>91</v>
      </c>
      <c r="D100" s="60" t="s">
        <v>92</v>
      </c>
      <c r="E100" s="56">
        <v>11.62</v>
      </c>
      <c r="F100" s="56">
        <v>9.09</v>
      </c>
      <c r="G100" s="133">
        <v>4.4000000000000004</v>
      </c>
      <c r="H100" s="133">
        <v>4.12</v>
      </c>
      <c r="I100" s="133">
        <v>4.0599999999999996</v>
      </c>
      <c r="J100" s="133">
        <v>4.03</v>
      </c>
      <c r="K100" s="133">
        <v>26.99</v>
      </c>
      <c r="L100" s="133">
        <v>25.31</v>
      </c>
      <c r="M100" s="133">
        <v>162</v>
      </c>
      <c r="N100" s="133">
        <v>154</v>
      </c>
      <c r="O100" s="134">
        <v>0.17</v>
      </c>
      <c r="P100" s="133">
        <f>O100*150/200</f>
        <v>0.12750000000000003</v>
      </c>
      <c r="Q100" s="134">
        <v>0.26</v>
      </c>
      <c r="R100" s="133">
        <f>Q100*150/200</f>
        <v>0.19500000000000001</v>
      </c>
      <c r="S100" s="134">
        <v>0</v>
      </c>
      <c r="T100" s="133">
        <v>0</v>
      </c>
      <c r="U100" s="134">
        <v>180.02</v>
      </c>
      <c r="V100" s="133">
        <v>170.02</v>
      </c>
      <c r="W100" s="134">
        <v>0.75</v>
      </c>
      <c r="X100" s="135">
        <f>W100*150/200</f>
        <v>0.5625</v>
      </c>
      <c r="Y100" s="49"/>
      <c r="Z100" s="48"/>
      <c r="AA100" s="48"/>
      <c r="AB100" s="48"/>
      <c r="AC100" s="48"/>
      <c r="AD100" s="48"/>
      <c r="AE100" s="48"/>
      <c r="AF100" s="48"/>
      <c r="AG100" s="48"/>
    </row>
    <row r="101" spans="1:33" ht="15" customHeight="1">
      <c r="A101" s="127" t="s">
        <v>32</v>
      </c>
      <c r="B101" s="23" t="s">
        <v>33</v>
      </c>
      <c r="C101" s="38" t="s">
        <v>31</v>
      </c>
      <c r="D101" s="38" t="s">
        <v>6</v>
      </c>
      <c r="E101" s="28">
        <v>6.02</v>
      </c>
      <c r="F101" s="28">
        <v>5.0199999999999996</v>
      </c>
      <c r="G101" s="35">
        <v>2.95</v>
      </c>
      <c r="H101" s="35">
        <v>2.46</v>
      </c>
      <c r="I101" s="35">
        <v>3.24</v>
      </c>
      <c r="J101" s="35">
        <v>2.7</v>
      </c>
      <c r="K101" s="35">
        <v>22.82</v>
      </c>
      <c r="L101" s="35">
        <v>19.02</v>
      </c>
      <c r="M101" s="35">
        <v>132.26</v>
      </c>
      <c r="N101" s="29">
        <v>110.22</v>
      </c>
      <c r="O101" s="35">
        <f>P101*180/150</f>
        <v>2.4E-2</v>
      </c>
      <c r="P101" s="39">
        <v>0.02</v>
      </c>
      <c r="Q101" s="35">
        <f>R101*180/150</f>
        <v>0.12</v>
      </c>
      <c r="R101" s="39">
        <v>0.1</v>
      </c>
      <c r="S101" s="35">
        <v>1.43</v>
      </c>
      <c r="T101" s="39">
        <v>1.2</v>
      </c>
      <c r="U101" s="35">
        <f>V101*180/150</f>
        <v>109.58399999999999</v>
      </c>
      <c r="V101" s="39">
        <v>91.32</v>
      </c>
      <c r="W101" s="35">
        <f>X101*180/150</f>
        <v>0.36</v>
      </c>
      <c r="X101" s="39">
        <v>0.3</v>
      </c>
      <c r="Y101" s="48"/>
      <c r="Z101" s="48"/>
      <c r="AA101" s="48"/>
      <c r="AB101" s="48"/>
      <c r="AC101" s="48"/>
      <c r="AD101" s="48"/>
      <c r="AE101" s="48"/>
    </row>
    <row r="102" spans="1:33" ht="15" customHeight="1">
      <c r="A102" s="22"/>
      <c r="B102" s="23" t="s">
        <v>7</v>
      </c>
      <c r="C102" s="38"/>
      <c r="D102" s="38"/>
      <c r="E102" s="17">
        <f>SUM(E99:E101)</f>
        <v>21.669999999999998</v>
      </c>
      <c r="F102" s="17">
        <f>SUM(F99:F101)</f>
        <v>18.14</v>
      </c>
      <c r="G102" s="17">
        <f t="shared" ref="G102:T102" si="21">SUM(G99:G101)</f>
        <v>8.98</v>
      </c>
      <c r="H102" s="17">
        <f t="shared" si="21"/>
        <v>8.2100000000000009</v>
      </c>
      <c r="I102" s="17">
        <f t="shared" si="21"/>
        <v>12</v>
      </c>
      <c r="J102" s="17">
        <f t="shared" si="21"/>
        <v>11.43</v>
      </c>
      <c r="K102" s="17">
        <f t="shared" si="21"/>
        <v>60.21</v>
      </c>
      <c r="L102" s="17">
        <f t="shared" si="21"/>
        <v>54.730000000000004</v>
      </c>
      <c r="M102" s="17">
        <f t="shared" si="21"/>
        <v>384.68</v>
      </c>
      <c r="N102" s="17">
        <f t="shared" si="21"/>
        <v>354.64</v>
      </c>
      <c r="O102" s="17">
        <f t="shared" si="21"/>
        <v>0.27400000000000002</v>
      </c>
      <c r="P102" s="17">
        <f t="shared" si="21"/>
        <v>0.19750000000000004</v>
      </c>
      <c r="Q102" s="17">
        <f t="shared" si="21"/>
        <v>0.42</v>
      </c>
      <c r="R102" s="17">
        <f t="shared" si="21"/>
        <v>0.315</v>
      </c>
      <c r="S102" s="17">
        <f t="shared" si="21"/>
        <v>1.43</v>
      </c>
      <c r="T102" s="17">
        <f t="shared" si="21"/>
        <v>1.2</v>
      </c>
      <c r="U102" s="17">
        <f t="shared" ref="U102:AB102" si="22">SUM(U99:U101)</f>
        <v>303.20400000000001</v>
      </c>
      <c r="V102" s="17">
        <f t="shared" si="22"/>
        <v>269.94</v>
      </c>
      <c r="W102" s="17">
        <f t="shared" si="22"/>
        <v>1.92</v>
      </c>
      <c r="X102" s="17">
        <f t="shared" si="22"/>
        <v>1.3525</v>
      </c>
      <c r="Y102" s="17">
        <f t="shared" si="22"/>
        <v>0</v>
      </c>
      <c r="Z102" s="17">
        <f t="shared" si="22"/>
        <v>0</v>
      </c>
      <c r="AA102" s="17">
        <f t="shared" si="22"/>
        <v>0</v>
      </c>
      <c r="AB102" s="17">
        <f t="shared" si="22"/>
        <v>0</v>
      </c>
      <c r="AC102" s="53"/>
      <c r="AD102" s="53"/>
      <c r="AE102" s="53"/>
      <c r="AF102" s="53"/>
    </row>
    <row r="103" spans="1:33" ht="15" customHeight="1">
      <c r="A103" s="22"/>
      <c r="B103" s="87" t="s">
        <v>16</v>
      </c>
      <c r="C103" s="38"/>
      <c r="D103" s="38"/>
      <c r="E103" s="28"/>
      <c r="F103" s="28"/>
      <c r="G103" s="28"/>
      <c r="H103" s="29"/>
      <c r="I103" s="29"/>
      <c r="J103" s="29"/>
      <c r="K103" s="29"/>
      <c r="L103" s="29"/>
      <c r="M103" s="29"/>
      <c r="N103" s="29"/>
      <c r="O103" s="36"/>
      <c r="P103" s="36"/>
      <c r="Q103" s="36"/>
      <c r="R103" s="36"/>
      <c r="S103" s="36"/>
      <c r="T103" s="36"/>
      <c r="U103" s="36"/>
      <c r="V103" s="36"/>
      <c r="W103" s="36"/>
      <c r="X103" s="70"/>
      <c r="Y103" s="49"/>
      <c r="Z103" s="48"/>
      <c r="AA103" s="48"/>
      <c r="AB103" s="48"/>
      <c r="AC103" s="48"/>
      <c r="AD103" s="48"/>
      <c r="AE103" s="48"/>
      <c r="AF103" s="48"/>
    </row>
    <row r="104" spans="1:33" s="1" customFormat="1" ht="15" customHeight="1">
      <c r="A104" s="128" t="s">
        <v>52</v>
      </c>
      <c r="B104" s="59" t="s">
        <v>59</v>
      </c>
      <c r="C104" s="60" t="s">
        <v>114</v>
      </c>
      <c r="D104" s="60" t="s">
        <v>114</v>
      </c>
      <c r="E104" s="56">
        <v>4.8</v>
      </c>
      <c r="F104" s="56">
        <v>4.8</v>
      </c>
      <c r="G104" s="61">
        <v>0</v>
      </c>
      <c r="H104" s="63">
        <v>0</v>
      </c>
      <c r="I104" s="61">
        <f>J104*180/150</f>
        <v>0</v>
      </c>
      <c r="J104" s="63">
        <v>0</v>
      </c>
      <c r="K104" s="61">
        <v>10.199999999999999</v>
      </c>
      <c r="L104" s="63">
        <v>10.199999999999999</v>
      </c>
      <c r="M104" s="61">
        <v>40.799999999999997</v>
      </c>
      <c r="N104" s="63">
        <v>40.799999999999997</v>
      </c>
      <c r="O104" s="61">
        <f>P104*180/150</f>
        <v>0</v>
      </c>
      <c r="P104" s="63">
        <v>0</v>
      </c>
      <c r="Q104" s="61">
        <f>R104*180/150</f>
        <v>2.4E-2</v>
      </c>
      <c r="R104" s="63">
        <v>0.02</v>
      </c>
      <c r="S104" s="61">
        <v>3.4</v>
      </c>
      <c r="T104" s="63">
        <v>3.4</v>
      </c>
      <c r="U104" s="61">
        <f>V104*180/150</f>
        <v>9.9960000000000004</v>
      </c>
      <c r="V104" s="63">
        <v>8.33</v>
      </c>
      <c r="W104" s="61">
        <f>X104*180/150</f>
        <v>0.252</v>
      </c>
      <c r="X104" s="101">
        <v>0.21</v>
      </c>
      <c r="Y104" s="52"/>
      <c r="Z104" s="52"/>
      <c r="AA104" s="52"/>
      <c r="AB104" s="52"/>
      <c r="AC104" s="52"/>
      <c r="AD104" s="52"/>
      <c r="AE104" s="52"/>
    </row>
    <row r="105" spans="1:33" ht="15" customHeight="1">
      <c r="A105" s="22"/>
      <c r="B105" s="23" t="s">
        <v>7</v>
      </c>
      <c r="C105" s="38"/>
      <c r="D105" s="38"/>
      <c r="E105" s="17">
        <f>SUM(E104)</f>
        <v>4.8</v>
      </c>
      <c r="F105" s="17">
        <f>SUM(F104)</f>
        <v>4.8</v>
      </c>
      <c r="G105" s="17">
        <f t="shared" ref="G105:T105" si="23">SUM(G104)</f>
        <v>0</v>
      </c>
      <c r="H105" s="17">
        <f t="shared" si="23"/>
        <v>0</v>
      </c>
      <c r="I105" s="17">
        <f t="shared" si="23"/>
        <v>0</v>
      </c>
      <c r="J105" s="17">
        <f t="shared" si="23"/>
        <v>0</v>
      </c>
      <c r="K105" s="17">
        <f t="shared" si="23"/>
        <v>10.199999999999999</v>
      </c>
      <c r="L105" s="17">
        <f t="shared" si="23"/>
        <v>10.199999999999999</v>
      </c>
      <c r="M105" s="17">
        <f t="shared" si="23"/>
        <v>40.799999999999997</v>
      </c>
      <c r="N105" s="17">
        <f t="shared" si="23"/>
        <v>40.799999999999997</v>
      </c>
      <c r="O105" s="17">
        <f t="shared" si="23"/>
        <v>0</v>
      </c>
      <c r="P105" s="17">
        <f t="shared" si="23"/>
        <v>0</v>
      </c>
      <c r="Q105" s="17">
        <f t="shared" si="23"/>
        <v>2.4E-2</v>
      </c>
      <c r="R105" s="17">
        <f t="shared" si="23"/>
        <v>0.02</v>
      </c>
      <c r="S105" s="17">
        <f t="shared" si="23"/>
        <v>3.4</v>
      </c>
      <c r="T105" s="17">
        <f t="shared" si="23"/>
        <v>3.4</v>
      </c>
      <c r="U105" s="17">
        <f>SUM(U104)</f>
        <v>9.9960000000000004</v>
      </c>
      <c r="V105" s="17">
        <f>SUM(V104)</f>
        <v>8.33</v>
      </c>
      <c r="W105" s="17">
        <f>SUM(W104)</f>
        <v>0.252</v>
      </c>
      <c r="X105" s="17">
        <f>SUM(X104)</f>
        <v>0.21</v>
      </c>
      <c r="Y105" s="67">
        <f>SUM(Y104)</f>
        <v>0</v>
      </c>
      <c r="Z105" s="53"/>
      <c r="AA105" s="53"/>
      <c r="AB105" s="53"/>
      <c r="AC105" s="53"/>
      <c r="AD105" s="48"/>
      <c r="AE105" s="48"/>
    </row>
    <row r="106" spans="1:33" ht="15" customHeight="1">
      <c r="A106" s="22"/>
      <c r="B106" s="87" t="s">
        <v>9</v>
      </c>
      <c r="C106" s="38"/>
      <c r="D106" s="38"/>
      <c r="E106" s="28"/>
      <c r="F106" s="28"/>
      <c r="G106" s="28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69"/>
      <c r="Y106" s="49"/>
      <c r="Z106" s="48"/>
      <c r="AA106" s="48"/>
      <c r="AB106" s="48"/>
      <c r="AC106" s="48"/>
      <c r="AD106" s="48"/>
      <c r="AE106" s="48"/>
    </row>
    <row r="107" spans="1:33" ht="15.75" customHeight="1">
      <c r="A107" s="140"/>
      <c r="B107" s="25" t="s">
        <v>125</v>
      </c>
      <c r="C107" s="38" t="s">
        <v>30</v>
      </c>
      <c r="D107" s="38" t="s">
        <v>30</v>
      </c>
      <c r="E107" s="28">
        <v>1.55</v>
      </c>
      <c r="F107" s="28">
        <v>1.55</v>
      </c>
      <c r="G107" s="29">
        <v>4.8000000000000001E-2</v>
      </c>
      <c r="H107" s="29">
        <v>4.8000000000000001E-2</v>
      </c>
      <c r="I107" s="29">
        <v>0</v>
      </c>
      <c r="J107" s="29">
        <v>0</v>
      </c>
      <c r="K107" s="29">
        <v>1.56</v>
      </c>
      <c r="L107" s="29">
        <v>1.56</v>
      </c>
      <c r="M107" s="29">
        <v>8.1</v>
      </c>
      <c r="N107" s="29">
        <v>8.1</v>
      </c>
      <c r="O107" s="29">
        <f>P107*35/30</f>
        <v>2.3333333333333334E-2</v>
      </c>
      <c r="P107" s="29">
        <v>0.02</v>
      </c>
      <c r="Q107" s="29">
        <f>R107*35/30</f>
        <v>1.1666666666666667E-2</v>
      </c>
      <c r="R107" s="29">
        <v>0.01</v>
      </c>
      <c r="S107" s="29">
        <v>6</v>
      </c>
      <c r="T107" s="29">
        <v>6</v>
      </c>
      <c r="U107" s="29">
        <f>V107*35/30</f>
        <v>5.1216666666666661</v>
      </c>
      <c r="V107" s="29">
        <v>4.3899999999999997</v>
      </c>
      <c r="W107" s="29">
        <f>X107*35/30</f>
        <v>0.35</v>
      </c>
      <c r="X107" s="29">
        <v>0.3</v>
      </c>
    </row>
    <row r="108" spans="1:33" s="7" customFormat="1" ht="16.5" customHeight="1">
      <c r="A108" s="127" t="s">
        <v>159</v>
      </c>
      <c r="B108" s="25" t="s">
        <v>160</v>
      </c>
      <c r="C108" s="38" t="s">
        <v>5</v>
      </c>
      <c r="D108" s="38" t="s">
        <v>6</v>
      </c>
      <c r="E108" s="28">
        <v>4.33</v>
      </c>
      <c r="F108" s="28">
        <v>3.25</v>
      </c>
      <c r="G108" s="35">
        <v>4.96</v>
      </c>
      <c r="H108" s="35">
        <v>3.72</v>
      </c>
      <c r="I108" s="35">
        <v>4.4800000000000004</v>
      </c>
      <c r="J108" s="35">
        <v>3.36</v>
      </c>
      <c r="K108" s="35">
        <v>17.84</v>
      </c>
      <c r="L108" s="35">
        <v>13.38</v>
      </c>
      <c r="M108" s="35">
        <v>131.52000000000001</v>
      </c>
      <c r="N108" s="35">
        <v>98.64</v>
      </c>
      <c r="O108" s="29">
        <v>0.12</v>
      </c>
      <c r="P108" s="29">
        <v>0.11</v>
      </c>
      <c r="Q108" s="29">
        <v>0.1</v>
      </c>
      <c r="R108" s="29">
        <v>0.11</v>
      </c>
      <c r="S108" s="29">
        <v>4.5999999999999996</v>
      </c>
      <c r="T108" s="35">
        <v>3.45</v>
      </c>
      <c r="U108" s="66">
        <v>18.09</v>
      </c>
      <c r="V108" s="75">
        <v>18.09</v>
      </c>
      <c r="W108" s="66">
        <v>1.07</v>
      </c>
      <c r="X108" s="75">
        <v>1.07</v>
      </c>
    </row>
    <row r="109" spans="1:33" s="72" customFormat="1" ht="24" customHeight="1">
      <c r="A109" s="128" t="s">
        <v>83</v>
      </c>
      <c r="B109" s="62" t="s">
        <v>84</v>
      </c>
      <c r="C109" s="60" t="s">
        <v>30</v>
      </c>
      <c r="D109" s="60" t="s">
        <v>30</v>
      </c>
      <c r="E109" s="56">
        <v>16.079999999999998</v>
      </c>
      <c r="F109" s="56">
        <v>16.079999999999998</v>
      </c>
      <c r="G109" s="56">
        <v>6.6</v>
      </c>
      <c r="H109" s="56">
        <v>6.6</v>
      </c>
      <c r="I109" s="56">
        <v>9</v>
      </c>
      <c r="J109" s="57">
        <v>9</v>
      </c>
      <c r="K109" s="57">
        <v>1.8</v>
      </c>
      <c r="L109" s="57">
        <v>1.8</v>
      </c>
      <c r="M109" s="57">
        <v>115</v>
      </c>
      <c r="N109" s="57">
        <v>115</v>
      </c>
      <c r="O109" s="64">
        <v>0.05</v>
      </c>
      <c r="P109" s="64">
        <v>0.05</v>
      </c>
      <c r="Q109" s="113">
        <v>0.08</v>
      </c>
      <c r="R109" s="113">
        <v>0.08</v>
      </c>
      <c r="S109" s="113">
        <v>0.35</v>
      </c>
      <c r="T109" s="113">
        <v>0.35</v>
      </c>
      <c r="U109" s="113">
        <v>77.36</v>
      </c>
      <c r="V109" s="113">
        <v>77.36</v>
      </c>
      <c r="W109" s="113">
        <v>1.17</v>
      </c>
      <c r="X109" s="114">
        <v>1.17</v>
      </c>
      <c r="Y109" s="115"/>
      <c r="Z109" s="79"/>
      <c r="AA109" s="79"/>
      <c r="AB109" s="79"/>
      <c r="AC109" s="79"/>
      <c r="AD109" s="79"/>
      <c r="AE109" s="79"/>
    </row>
    <row r="110" spans="1:33" ht="15" customHeight="1">
      <c r="A110" s="128" t="s">
        <v>29</v>
      </c>
      <c r="B110" s="62" t="s">
        <v>27</v>
      </c>
      <c r="C110" s="60" t="s">
        <v>78</v>
      </c>
      <c r="D110" s="60" t="s">
        <v>96</v>
      </c>
      <c r="E110" s="125">
        <v>3.35</v>
      </c>
      <c r="F110" s="125">
        <v>2.58</v>
      </c>
      <c r="G110" s="57">
        <f>H110*130/100</f>
        <v>4.9659999999999993</v>
      </c>
      <c r="H110" s="57">
        <v>3.82</v>
      </c>
      <c r="I110" s="57">
        <f>J110*130/100</f>
        <v>4.407</v>
      </c>
      <c r="J110" s="57">
        <v>3.39</v>
      </c>
      <c r="K110" s="57">
        <f>L110*130/100</f>
        <v>27.026999999999997</v>
      </c>
      <c r="L110" s="57">
        <v>20.79</v>
      </c>
      <c r="M110" s="57">
        <f>N110*130/100</f>
        <v>167.7</v>
      </c>
      <c r="N110" s="57">
        <v>129</v>
      </c>
      <c r="O110" s="61">
        <v>0.09</v>
      </c>
      <c r="P110" s="57">
        <f>O110/1.5</f>
        <v>0.06</v>
      </c>
      <c r="Q110" s="61">
        <v>0.06</v>
      </c>
      <c r="R110" s="57">
        <f>Q110/1.5</f>
        <v>0.04</v>
      </c>
      <c r="S110" s="61">
        <v>0</v>
      </c>
      <c r="T110" s="57">
        <f>S110/1.5</f>
        <v>0</v>
      </c>
      <c r="U110" s="61">
        <v>12.89</v>
      </c>
      <c r="V110" s="57">
        <f>U110/1.5</f>
        <v>8.5933333333333337</v>
      </c>
      <c r="W110" s="61">
        <v>0.78</v>
      </c>
      <c r="X110" s="78">
        <f>W110/1.5</f>
        <v>0.52</v>
      </c>
      <c r="Y110" s="48"/>
      <c r="Z110" s="48"/>
      <c r="AA110" s="48"/>
      <c r="AB110" s="48"/>
      <c r="AC110" s="48"/>
      <c r="AD110" s="48"/>
      <c r="AE110" s="48"/>
    </row>
    <row r="111" spans="1:33" ht="27" customHeight="1">
      <c r="A111" s="129" t="s">
        <v>105</v>
      </c>
      <c r="B111" s="107" t="s">
        <v>98</v>
      </c>
      <c r="C111" s="103">
        <v>200</v>
      </c>
      <c r="D111" s="103">
        <v>150</v>
      </c>
      <c r="E111" s="56">
        <v>1.62</v>
      </c>
      <c r="F111" s="56">
        <v>1.22</v>
      </c>
      <c r="G111" s="56">
        <v>0.6</v>
      </c>
      <c r="H111" s="57">
        <f>G111*150/200</f>
        <v>0.45</v>
      </c>
      <c r="I111" s="56">
        <v>0</v>
      </c>
      <c r="J111" s="57">
        <f>I111*150/200</f>
        <v>0</v>
      </c>
      <c r="K111" s="56">
        <v>31.4</v>
      </c>
      <c r="L111" s="57">
        <f>K111*150/200</f>
        <v>23.55</v>
      </c>
      <c r="M111" s="56">
        <v>124</v>
      </c>
      <c r="N111" s="57">
        <f>M111*150/200</f>
        <v>93</v>
      </c>
      <c r="O111" s="57">
        <v>0.02</v>
      </c>
      <c r="P111" s="57">
        <f>O111*150/200</f>
        <v>1.4999999999999999E-2</v>
      </c>
      <c r="Q111" s="57">
        <v>0.03</v>
      </c>
      <c r="R111" s="57">
        <f>Q111*150/200</f>
        <v>2.2499999999999999E-2</v>
      </c>
      <c r="S111" s="57">
        <v>0.45</v>
      </c>
      <c r="T111" s="57">
        <f>S111*150/200</f>
        <v>0.33750000000000002</v>
      </c>
      <c r="U111" s="57">
        <v>12.3</v>
      </c>
      <c r="V111" s="57">
        <f>U111*150/200</f>
        <v>9.2249999999999996</v>
      </c>
      <c r="W111" s="65">
        <v>2</v>
      </c>
      <c r="X111" s="78">
        <f>W111*150/200</f>
        <v>1.5</v>
      </c>
      <c r="Y111" s="48"/>
      <c r="Z111" s="48"/>
      <c r="AA111" s="48"/>
      <c r="AB111" s="48"/>
      <c r="AC111" s="48"/>
      <c r="AD111" s="48"/>
      <c r="AE111" s="48"/>
    </row>
    <row r="112" spans="1:33" s="16" customFormat="1" ht="15" customHeight="1">
      <c r="A112" s="127"/>
      <c r="B112" s="23" t="s">
        <v>11</v>
      </c>
      <c r="C112" s="38" t="s">
        <v>14</v>
      </c>
      <c r="D112" s="38" t="s">
        <v>14</v>
      </c>
      <c r="E112" s="28">
        <v>1.1100000000000001</v>
      </c>
      <c r="F112" s="28">
        <v>1.1100000000000001</v>
      </c>
      <c r="G112" s="28">
        <v>1.6</v>
      </c>
      <c r="H112" s="28">
        <v>1.6</v>
      </c>
      <c r="I112" s="28">
        <v>0.4</v>
      </c>
      <c r="J112" s="28">
        <v>0.4</v>
      </c>
      <c r="K112" s="28">
        <v>10</v>
      </c>
      <c r="L112" s="28">
        <v>10</v>
      </c>
      <c r="M112" s="29">
        <v>54</v>
      </c>
      <c r="N112" s="29">
        <v>54</v>
      </c>
      <c r="O112" s="37">
        <v>0.04</v>
      </c>
      <c r="P112" s="42">
        <v>0.04</v>
      </c>
      <c r="Q112" s="37">
        <v>0.02</v>
      </c>
      <c r="R112" s="42">
        <v>0.02</v>
      </c>
      <c r="S112" s="37">
        <v>0</v>
      </c>
      <c r="T112" s="42">
        <v>0</v>
      </c>
      <c r="U112" s="37">
        <v>7.4</v>
      </c>
      <c r="V112" s="42">
        <v>7.4</v>
      </c>
      <c r="W112" s="37">
        <v>0.56000000000000005</v>
      </c>
      <c r="X112" s="42">
        <v>0.56000000000000005</v>
      </c>
      <c r="Y112" s="51"/>
      <c r="Z112" s="51"/>
      <c r="AA112" s="51"/>
      <c r="AB112" s="51"/>
      <c r="AC112" s="51"/>
      <c r="AD112" s="51"/>
      <c r="AE112" s="51"/>
    </row>
    <row r="113" spans="1:31" ht="15" customHeight="1">
      <c r="A113" s="127"/>
      <c r="B113" s="23" t="s">
        <v>48</v>
      </c>
      <c r="C113" s="38" t="s">
        <v>79</v>
      </c>
      <c r="D113" s="38" t="s">
        <v>80</v>
      </c>
      <c r="E113" s="28">
        <v>2.09</v>
      </c>
      <c r="F113" s="28">
        <v>1.83</v>
      </c>
      <c r="G113" s="28">
        <v>3.25</v>
      </c>
      <c r="H113" s="29">
        <v>2.84</v>
      </c>
      <c r="I113" s="29">
        <v>0.46</v>
      </c>
      <c r="J113" s="29">
        <f>I113*40.6/46</f>
        <v>0.40600000000000003</v>
      </c>
      <c r="K113" s="29">
        <v>20.88</v>
      </c>
      <c r="L113" s="29">
        <v>18.27</v>
      </c>
      <c r="M113" s="29">
        <v>102.08</v>
      </c>
      <c r="N113" s="29">
        <v>89.32</v>
      </c>
      <c r="O113" s="35">
        <v>0.06</v>
      </c>
      <c r="P113" s="39">
        <v>0.04</v>
      </c>
      <c r="Q113" s="35">
        <v>0.04</v>
      </c>
      <c r="R113" s="39">
        <v>0.03</v>
      </c>
      <c r="S113" s="35">
        <v>0</v>
      </c>
      <c r="T113" s="29">
        <f>S113*40.6/46</f>
        <v>0</v>
      </c>
      <c r="U113" s="37">
        <v>17</v>
      </c>
      <c r="V113" s="42">
        <v>13.6</v>
      </c>
      <c r="W113" s="37">
        <v>1.1499999999999999</v>
      </c>
      <c r="X113" s="42">
        <v>0.92</v>
      </c>
      <c r="Y113" s="48"/>
      <c r="Z113" s="48"/>
      <c r="AA113" s="48"/>
      <c r="AB113" s="48"/>
      <c r="AC113" s="48"/>
      <c r="AD113" s="48"/>
      <c r="AE113" s="48"/>
    </row>
    <row r="114" spans="1:31" ht="15" customHeight="1">
      <c r="A114" s="22"/>
      <c r="B114" s="23" t="s">
        <v>7</v>
      </c>
      <c r="C114" s="38"/>
      <c r="D114" s="38"/>
      <c r="E114" s="17">
        <f>SUM(E107:E113)</f>
        <v>30.13</v>
      </c>
      <c r="F114" s="17">
        <f>SUM(F107:F113)</f>
        <v>27.619999999999997</v>
      </c>
      <c r="G114" s="17">
        <f>SUM(G107:G113)</f>
        <v>22.024000000000001</v>
      </c>
      <c r="H114" s="17">
        <f>SUM(H107:H113)</f>
        <v>19.077999999999999</v>
      </c>
      <c r="I114" s="17">
        <f>SUM(I107:I113)+2</f>
        <v>20.747</v>
      </c>
      <c r="J114" s="17">
        <f>SUM(J107:J113)+0</f>
        <v>16.555999999999997</v>
      </c>
      <c r="K114" s="17">
        <f>SUM(K107:K113)+11</f>
        <v>121.50699999999999</v>
      </c>
      <c r="L114" s="17">
        <f t="shared" ref="L114:Y114" si="24">SUM(L107:L113)</f>
        <v>89.35</v>
      </c>
      <c r="M114" s="17">
        <f t="shared" si="24"/>
        <v>702.4</v>
      </c>
      <c r="N114" s="17">
        <f t="shared" si="24"/>
        <v>587.05999999999995</v>
      </c>
      <c r="O114" s="17">
        <f t="shared" si="24"/>
        <v>0.40333333333333332</v>
      </c>
      <c r="P114" s="17">
        <f t="shared" si="24"/>
        <v>0.33499999999999996</v>
      </c>
      <c r="Q114" s="17">
        <f t="shared" si="24"/>
        <v>0.34166666666666673</v>
      </c>
      <c r="R114" s="17">
        <f t="shared" si="24"/>
        <v>0.3125</v>
      </c>
      <c r="S114" s="17">
        <f t="shared" si="24"/>
        <v>11.399999999999999</v>
      </c>
      <c r="T114" s="17">
        <f t="shared" si="24"/>
        <v>10.137499999999999</v>
      </c>
      <c r="U114" s="17">
        <f t="shared" si="24"/>
        <v>150.16166666666666</v>
      </c>
      <c r="V114" s="17">
        <f t="shared" si="24"/>
        <v>138.65833333333333</v>
      </c>
      <c r="W114" s="17">
        <f t="shared" si="24"/>
        <v>7.08</v>
      </c>
      <c r="X114" s="17">
        <f t="shared" si="24"/>
        <v>6.0400000000000009</v>
      </c>
      <c r="Y114" s="67">
        <f t="shared" si="24"/>
        <v>0</v>
      </c>
      <c r="Z114" s="53"/>
      <c r="AA114" s="53"/>
      <c r="AB114" s="53"/>
      <c r="AC114" s="53"/>
      <c r="AD114" s="48"/>
      <c r="AE114" s="48"/>
    </row>
    <row r="115" spans="1:31" ht="15" customHeight="1">
      <c r="A115" s="22"/>
      <c r="B115" s="87" t="s">
        <v>12</v>
      </c>
      <c r="C115" s="38"/>
      <c r="D115" s="38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36"/>
      <c r="P115" s="36"/>
      <c r="Q115" s="36"/>
      <c r="R115" s="36"/>
      <c r="S115" s="36"/>
      <c r="T115" s="36"/>
      <c r="U115" s="36"/>
      <c r="V115" s="36"/>
      <c r="W115" s="36"/>
      <c r="X115" s="70"/>
      <c r="Y115" s="49"/>
      <c r="Z115" s="48"/>
      <c r="AA115" s="48"/>
      <c r="AB115" s="48"/>
      <c r="AC115" s="48"/>
      <c r="AD115" s="48"/>
      <c r="AE115" s="48"/>
    </row>
    <row r="116" spans="1:31" ht="20.25" customHeight="1">
      <c r="A116" s="127" t="s">
        <v>23</v>
      </c>
      <c r="B116" s="23" t="s">
        <v>20</v>
      </c>
      <c r="C116" s="38" t="s">
        <v>31</v>
      </c>
      <c r="D116" s="38" t="s">
        <v>31</v>
      </c>
      <c r="E116" s="28">
        <v>10.36</v>
      </c>
      <c r="F116" s="28">
        <v>10.36</v>
      </c>
      <c r="G116" s="28">
        <v>5.31</v>
      </c>
      <c r="H116" s="29">
        <v>5.31</v>
      </c>
      <c r="I116" s="28">
        <v>4.5</v>
      </c>
      <c r="J116" s="29">
        <v>4.5</v>
      </c>
      <c r="K116" s="28">
        <v>8.91</v>
      </c>
      <c r="L116" s="29">
        <v>8.91</v>
      </c>
      <c r="M116" s="28">
        <v>97.38</v>
      </c>
      <c r="N116" s="29">
        <v>97.38</v>
      </c>
      <c r="O116" s="28">
        <v>7.0000000000000007E-2</v>
      </c>
      <c r="P116" s="29">
        <v>7.0000000000000007E-2</v>
      </c>
      <c r="Q116" s="28">
        <v>0.3</v>
      </c>
      <c r="R116" s="29">
        <v>0.3</v>
      </c>
      <c r="S116" s="28">
        <v>2.46</v>
      </c>
      <c r="T116" s="29">
        <v>2.46</v>
      </c>
      <c r="U116" s="28">
        <v>275.74</v>
      </c>
      <c r="V116" s="29">
        <v>275.74</v>
      </c>
      <c r="W116" s="28">
        <v>0.23</v>
      </c>
      <c r="X116" s="29">
        <v>0.23</v>
      </c>
      <c r="Y116" s="52"/>
      <c r="Z116" s="52"/>
      <c r="AA116" s="52"/>
      <c r="AB116" s="52"/>
      <c r="AC116" s="52"/>
      <c r="AD116" s="52"/>
      <c r="AE116" s="48"/>
    </row>
    <row r="117" spans="1:31" s="8" customFormat="1" ht="17.25" customHeight="1">
      <c r="A117" s="55"/>
      <c r="B117" s="59" t="s">
        <v>7</v>
      </c>
      <c r="C117" s="60"/>
      <c r="D117" s="60"/>
      <c r="E117" s="76">
        <f>SUM(E116)</f>
        <v>10.36</v>
      </c>
      <c r="F117" s="76">
        <f>SUM(F116)</f>
        <v>10.36</v>
      </c>
      <c r="G117" s="76">
        <f t="shared" ref="G117:T117" si="25">SUM(G116)</f>
        <v>5.31</v>
      </c>
      <c r="H117" s="76">
        <f t="shared" si="25"/>
        <v>5.31</v>
      </c>
      <c r="I117" s="76">
        <f t="shared" si="25"/>
        <v>4.5</v>
      </c>
      <c r="J117" s="76">
        <f t="shared" si="25"/>
        <v>4.5</v>
      </c>
      <c r="K117" s="76">
        <f t="shared" si="25"/>
        <v>8.91</v>
      </c>
      <c r="L117" s="76">
        <f t="shared" si="25"/>
        <v>8.91</v>
      </c>
      <c r="M117" s="76">
        <f t="shared" si="25"/>
        <v>97.38</v>
      </c>
      <c r="N117" s="76">
        <f t="shared" si="25"/>
        <v>97.38</v>
      </c>
      <c r="O117" s="76">
        <f t="shared" si="25"/>
        <v>7.0000000000000007E-2</v>
      </c>
      <c r="P117" s="76">
        <f t="shared" si="25"/>
        <v>7.0000000000000007E-2</v>
      </c>
      <c r="Q117" s="76">
        <f t="shared" si="25"/>
        <v>0.3</v>
      </c>
      <c r="R117" s="76">
        <f t="shared" si="25"/>
        <v>0.3</v>
      </c>
      <c r="S117" s="76">
        <f t="shared" si="25"/>
        <v>2.46</v>
      </c>
      <c r="T117" s="76">
        <f t="shared" si="25"/>
        <v>2.46</v>
      </c>
      <c r="U117" s="76" t="e">
        <f>SUM(#REF!)</f>
        <v>#REF!</v>
      </c>
      <c r="V117" s="76" t="e">
        <f>SUM(#REF!)</f>
        <v>#REF!</v>
      </c>
      <c r="W117" s="76" t="e">
        <f>SUM(#REF!)</f>
        <v>#REF!</v>
      </c>
      <c r="X117" s="77" t="e">
        <f>SUM(#REF!)</f>
        <v>#REF!</v>
      </c>
      <c r="Y117" s="58"/>
      <c r="Z117" s="53"/>
      <c r="AA117" s="53"/>
      <c r="AB117" s="53"/>
      <c r="AC117" s="53"/>
      <c r="AD117" s="104"/>
      <c r="AE117" s="104"/>
    </row>
    <row r="118" spans="1:31" ht="13.5" customHeight="1">
      <c r="A118" s="22"/>
      <c r="B118" s="87" t="s">
        <v>13</v>
      </c>
      <c r="C118" s="38"/>
      <c r="D118" s="38"/>
      <c r="E118" s="28"/>
      <c r="F118" s="28"/>
      <c r="G118" s="28"/>
      <c r="H118" s="29"/>
      <c r="I118" s="29"/>
      <c r="J118" s="29"/>
      <c r="K118" s="29"/>
      <c r="L118" s="29"/>
      <c r="M118" s="29"/>
      <c r="N118" s="29"/>
      <c r="O118" s="36"/>
      <c r="P118" s="36"/>
      <c r="Q118" s="36"/>
      <c r="R118" s="36"/>
      <c r="S118" s="36"/>
      <c r="T118" s="36"/>
      <c r="U118" s="36"/>
      <c r="V118" s="36"/>
      <c r="W118" s="36"/>
      <c r="X118" s="70"/>
      <c r="Y118" s="49"/>
      <c r="Z118" s="48"/>
      <c r="AA118" s="48"/>
      <c r="AB118" s="48"/>
    </row>
    <row r="119" spans="1:31" s="16" customFormat="1" ht="30" customHeight="1">
      <c r="A119" s="131" t="s">
        <v>99</v>
      </c>
      <c r="B119" s="23" t="s">
        <v>100</v>
      </c>
      <c r="C119" s="38" t="s">
        <v>101</v>
      </c>
      <c r="D119" s="38" t="s">
        <v>101</v>
      </c>
      <c r="E119" s="28">
        <v>8.5299999999999994</v>
      </c>
      <c r="F119" s="28">
        <v>8.5299999999999994</v>
      </c>
      <c r="G119" s="28">
        <v>7.28</v>
      </c>
      <c r="H119" s="29">
        <v>7.28</v>
      </c>
      <c r="I119" s="28">
        <v>5.44</v>
      </c>
      <c r="J119" s="29">
        <v>5.44</v>
      </c>
      <c r="K119" s="28">
        <v>6.17</v>
      </c>
      <c r="L119" s="29">
        <v>6.17</v>
      </c>
      <c r="M119" s="28">
        <v>102.7</v>
      </c>
      <c r="N119" s="29">
        <v>102.7</v>
      </c>
      <c r="O119" s="29">
        <v>0.09</v>
      </c>
      <c r="P119" s="29">
        <v>0.09</v>
      </c>
      <c r="Q119" s="29">
        <v>0.1</v>
      </c>
      <c r="R119" s="29">
        <v>0.1</v>
      </c>
      <c r="S119" s="28">
        <v>3.59</v>
      </c>
      <c r="T119" s="29">
        <v>3.59</v>
      </c>
      <c r="U119" s="151"/>
      <c r="V119" s="151"/>
      <c r="W119" s="151"/>
      <c r="X119" s="152"/>
      <c r="Y119" s="51"/>
      <c r="Z119" s="51"/>
      <c r="AA119" s="51"/>
      <c r="AB119" s="51"/>
    </row>
    <row r="120" spans="1:31" s="16" customFormat="1">
      <c r="A120" s="127" t="s">
        <v>103</v>
      </c>
      <c r="B120" s="23" t="s">
        <v>104</v>
      </c>
      <c r="C120" s="38" t="s">
        <v>6</v>
      </c>
      <c r="D120" s="38" t="s">
        <v>78</v>
      </c>
      <c r="E120" s="28">
        <v>8.02</v>
      </c>
      <c r="F120" s="28">
        <v>6.95</v>
      </c>
      <c r="G120" s="29">
        <f>H120*150/130</f>
        <v>3</v>
      </c>
      <c r="H120" s="29">
        <v>2.6</v>
      </c>
      <c r="I120" s="29">
        <f>J120*150/130</f>
        <v>4.8</v>
      </c>
      <c r="J120" s="29">
        <v>4.16</v>
      </c>
      <c r="K120" s="29">
        <f>L120*150/130</f>
        <v>20.399999999999999</v>
      </c>
      <c r="L120" s="29">
        <v>17.68</v>
      </c>
      <c r="M120" s="29">
        <f>N120*150/130</f>
        <v>139.99615384615385</v>
      </c>
      <c r="N120" s="29">
        <v>121.33</v>
      </c>
      <c r="O120" s="35">
        <v>0.16</v>
      </c>
      <c r="P120" s="35">
        <v>0</v>
      </c>
      <c r="Q120" s="35">
        <v>0.1</v>
      </c>
      <c r="R120" s="35">
        <f>Q120/1.5</f>
        <v>6.6666666666666666E-2</v>
      </c>
      <c r="S120" s="29">
        <f>T120*150/130</f>
        <v>18.103846153846153</v>
      </c>
      <c r="T120" s="29">
        <v>15.69</v>
      </c>
      <c r="U120" s="151"/>
      <c r="V120" s="151"/>
      <c r="W120" s="151"/>
      <c r="X120" s="152"/>
      <c r="Y120" s="51"/>
      <c r="Z120" s="51"/>
      <c r="AA120" s="51"/>
      <c r="AB120" s="51"/>
    </row>
    <row r="121" spans="1:31" ht="14.25" customHeight="1">
      <c r="A121" s="128" t="s">
        <v>87</v>
      </c>
      <c r="B121" s="62" t="s">
        <v>88</v>
      </c>
      <c r="C121" s="60" t="s">
        <v>5</v>
      </c>
      <c r="D121" s="60" t="s">
        <v>6</v>
      </c>
      <c r="E121" s="56">
        <v>0.55000000000000004</v>
      </c>
      <c r="F121" s="56">
        <v>0.41</v>
      </c>
      <c r="G121" s="56">
        <v>0.18</v>
      </c>
      <c r="H121" s="57">
        <v>0.13</v>
      </c>
      <c r="I121" s="56">
        <f>J121*200/150</f>
        <v>0</v>
      </c>
      <c r="J121" s="57">
        <v>0</v>
      </c>
      <c r="K121" s="56">
        <v>4.78</v>
      </c>
      <c r="L121" s="57">
        <v>3.58</v>
      </c>
      <c r="M121" s="56">
        <v>19.899999999999999</v>
      </c>
      <c r="N121" s="57">
        <v>14.92</v>
      </c>
      <c r="O121" s="56">
        <f>P121*200/150</f>
        <v>1.3333333333333334E-2</v>
      </c>
      <c r="P121" s="64">
        <v>0.01</v>
      </c>
      <c r="Q121" s="56">
        <f>R121*200/150</f>
        <v>1.3333333333333334E-2</v>
      </c>
      <c r="R121" s="64">
        <v>0.01</v>
      </c>
      <c r="S121" s="56">
        <v>0.04</v>
      </c>
      <c r="T121" s="64">
        <v>0.03</v>
      </c>
      <c r="U121" s="56">
        <f>V121*200/150</f>
        <v>5.0533333333333337</v>
      </c>
      <c r="V121" s="64">
        <v>3.79</v>
      </c>
      <c r="W121" s="56">
        <f>X121*200/150</f>
        <v>0.84</v>
      </c>
      <c r="X121" s="116">
        <v>0.63</v>
      </c>
      <c r="Y121" s="48"/>
      <c r="Z121" s="48"/>
      <c r="AA121" s="48"/>
      <c r="AB121" s="48"/>
    </row>
    <row r="122" spans="1:31" s="16" customFormat="1" ht="15" customHeight="1">
      <c r="A122" s="127"/>
      <c r="B122" s="23" t="s">
        <v>11</v>
      </c>
      <c r="C122" s="38" t="s">
        <v>14</v>
      </c>
      <c r="D122" s="38" t="s">
        <v>14</v>
      </c>
      <c r="E122" s="28">
        <v>1.1100000000000001</v>
      </c>
      <c r="F122" s="28">
        <v>1.1100000000000001</v>
      </c>
      <c r="G122" s="28">
        <v>1.6</v>
      </c>
      <c r="H122" s="28">
        <v>1.6</v>
      </c>
      <c r="I122" s="28">
        <v>0.4</v>
      </c>
      <c r="J122" s="28">
        <v>0.4</v>
      </c>
      <c r="K122" s="28">
        <v>10</v>
      </c>
      <c r="L122" s="28">
        <v>10</v>
      </c>
      <c r="M122" s="29">
        <v>54</v>
      </c>
      <c r="N122" s="29">
        <v>54</v>
      </c>
      <c r="O122" s="37">
        <v>0.04</v>
      </c>
      <c r="P122" s="42">
        <v>0.04</v>
      </c>
      <c r="Q122" s="37">
        <v>0.02</v>
      </c>
      <c r="R122" s="42">
        <v>0.02</v>
      </c>
      <c r="S122" s="37">
        <v>0</v>
      </c>
      <c r="T122" s="42">
        <v>0</v>
      </c>
      <c r="U122" s="37">
        <v>7.4</v>
      </c>
      <c r="V122" s="42">
        <v>7.4</v>
      </c>
      <c r="W122" s="37">
        <v>0.56000000000000005</v>
      </c>
      <c r="X122" s="42">
        <v>0.56000000000000005</v>
      </c>
      <c r="Y122" s="51"/>
      <c r="Z122" s="51"/>
      <c r="AA122" s="51"/>
      <c r="AB122" s="51"/>
      <c r="AC122" s="51"/>
      <c r="AD122" s="51"/>
      <c r="AE122" s="51"/>
    </row>
    <row r="123" spans="1:31" ht="15" customHeight="1">
      <c r="A123" s="22"/>
      <c r="B123" s="23" t="s">
        <v>7</v>
      </c>
      <c r="C123" s="38"/>
      <c r="D123" s="38"/>
      <c r="E123" s="17">
        <f>SUM(E119:E122)</f>
        <v>18.209999999999997</v>
      </c>
      <c r="F123" s="17">
        <f>SUM(F119:F122)</f>
        <v>17</v>
      </c>
      <c r="G123" s="17">
        <f t="shared" ref="G123:T123" si="26">SUM(G119:G122)</f>
        <v>12.06</v>
      </c>
      <c r="H123" s="17">
        <f t="shared" si="26"/>
        <v>11.610000000000001</v>
      </c>
      <c r="I123" s="17">
        <f t="shared" si="26"/>
        <v>10.64</v>
      </c>
      <c r="J123" s="17">
        <f t="shared" si="26"/>
        <v>10.000000000000002</v>
      </c>
      <c r="K123" s="17">
        <f t="shared" si="26"/>
        <v>41.35</v>
      </c>
      <c r="L123" s="17">
        <f t="shared" si="26"/>
        <v>37.43</v>
      </c>
      <c r="M123" s="17">
        <f t="shared" si="26"/>
        <v>316.59615384615381</v>
      </c>
      <c r="N123" s="17">
        <f t="shared" si="26"/>
        <v>292.95</v>
      </c>
      <c r="O123" s="17">
        <f t="shared" si="26"/>
        <v>0.30333333333333329</v>
      </c>
      <c r="P123" s="17">
        <f t="shared" si="26"/>
        <v>0.13999999999999999</v>
      </c>
      <c r="Q123" s="17">
        <f t="shared" si="26"/>
        <v>0.23333333333333334</v>
      </c>
      <c r="R123" s="17">
        <f t="shared" si="26"/>
        <v>0.19666666666666668</v>
      </c>
      <c r="S123" s="17">
        <f t="shared" si="26"/>
        <v>21.733846153846152</v>
      </c>
      <c r="T123" s="17">
        <f t="shared" si="26"/>
        <v>19.310000000000002</v>
      </c>
      <c r="U123" s="17">
        <f>SUM(U119:U122)</f>
        <v>12.453333333333333</v>
      </c>
      <c r="V123" s="17">
        <f>SUM(V119:V122)</f>
        <v>11.190000000000001</v>
      </c>
      <c r="W123" s="17">
        <f>SUM(W119:W122)</f>
        <v>1.4</v>
      </c>
      <c r="X123" s="17">
        <f>SUM(X119:X122)</f>
        <v>1.19</v>
      </c>
      <c r="Y123" s="67">
        <f>SUM(Y119:Y122)</f>
        <v>0</v>
      </c>
      <c r="Z123" s="53"/>
      <c r="AA123" s="53"/>
      <c r="AB123" s="53"/>
      <c r="AC123" s="53"/>
      <c r="AD123" s="136"/>
      <c r="AE123" s="136"/>
    </row>
    <row r="124" spans="1:31" ht="15" customHeight="1">
      <c r="A124" s="22"/>
      <c r="B124" s="23" t="s">
        <v>15</v>
      </c>
      <c r="C124" s="38"/>
      <c r="D124" s="38"/>
      <c r="E124" s="17">
        <f>E123+E117+E114+E105+E102</f>
        <v>85.169999999999987</v>
      </c>
      <c r="F124" s="17">
        <f>F123+F117+F114+F105+F102</f>
        <v>77.919999999999987</v>
      </c>
      <c r="G124" s="17">
        <f t="shared" ref="G124:T124" si="27">G123+G117+G114+G105+G102</f>
        <v>48.374000000000009</v>
      </c>
      <c r="H124" s="17">
        <f t="shared" si="27"/>
        <v>44.208000000000006</v>
      </c>
      <c r="I124" s="17">
        <f t="shared" si="27"/>
        <v>47.887</v>
      </c>
      <c r="J124" s="17">
        <f t="shared" si="27"/>
        <v>42.485999999999997</v>
      </c>
      <c r="K124" s="17">
        <f t="shared" si="27"/>
        <v>242.17699999999999</v>
      </c>
      <c r="L124" s="17">
        <f t="shared" si="27"/>
        <v>200.62</v>
      </c>
      <c r="M124" s="17">
        <f t="shared" si="27"/>
        <v>1541.8561538461538</v>
      </c>
      <c r="N124" s="17">
        <f t="shared" si="27"/>
        <v>1372.83</v>
      </c>
      <c r="O124" s="17">
        <f t="shared" si="27"/>
        <v>1.0506666666666666</v>
      </c>
      <c r="P124" s="17">
        <f t="shared" si="27"/>
        <v>0.74249999999999994</v>
      </c>
      <c r="Q124" s="17">
        <f t="shared" si="27"/>
        <v>1.319</v>
      </c>
      <c r="R124" s="17">
        <f t="shared" si="27"/>
        <v>1.1441666666666668</v>
      </c>
      <c r="S124" s="17">
        <f t="shared" si="27"/>
        <v>40.423846153846149</v>
      </c>
      <c r="T124" s="17">
        <f t="shared" si="27"/>
        <v>36.507500000000007</v>
      </c>
      <c r="U124" s="17" t="e">
        <f>U123+U117+U114+U105+U102</f>
        <v>#REF!</v>
      </c>
      <c r="V124" s="17" t="e">
        <f>V123+V117+V114+V105+V102</f>
        <v>#REF!</v>
      </c>
      <c r="W124" s="17" t="e">
        <f>W123+W117+W114+W105+W102</f>
        <v>#REF!</v>
      </c>
      <c r="X124" s="17" t="e">
        <f>X123+X117+X114+X105+X102</f>
        <v>#REF!</v>
      </c>
      <c r="Y124" s="67">
        <f>Y123+Y117+Y114+Y105+Y102</f>
        <v>0</v>
      </c>
      <c r="Z124" s="53"/>
      <c r="AA124" s="53"/>
      <c r="AB124" s="53"/>
      <c r="AC124" s="53"/>
      <c r="AD124" s="137"/>
      <c r="AE124" s="137"/>
    </row>
    <row r="125" spans="1:31" ht="15" customHeight="1">
      <c r="A125" s="22"/>
      <c r="B125" s="86" t="s">
        <v>166</v>
      </c>
      <c r="C125" s="38"/>
      <c r="D125" s="38"/>
      <c r="E125" s="28"/>
      <c r="F125" s="17"/>
      <c r="G125" s="28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36"/>
      <c r="U125" s="36"/>
      <c r="V125" s="36"/>
      <c r="W125" s="36"/>
      <c r="X125" s="70"/>
      <c r="Y125" s="49"/>
      <c r="Z125" s="48"/>
      <c r="AA125" s="48"/>
      <c r="AB125" s="48"/>
      <c r="AC125" s="48"/>
      <c r="AD125" s="48"/>
      <c r="AE125" s="48"/>
    </row>
    <row r="126" spans="1:31" ht="15" customHeight="1">
      <c r="A126" s="22"/>
      <c r="B126" s="87" t="s">
        <v>18</v>
      </c>
      <c r="C126" s="38"/>
      <c r="D126" s="38"/>
      <c r="E126" s="28"/>
      <c r="F126" s="28"/>
      <c r="G126" s="28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36"/>
      <c r="U126" s="36"/>
      <c r="V126" s="36"/>
      <c r="W126" s="36"/>
      <c r="X126" s="70"/>
      <c r="Y126" s="49"/>
      <c r="Z126" s="48"/>
      <c r="AA126" s="48"/>
      <c r="AB126" s="48"/>
      <c r="AC126" s="48"/>
      <c r="AD126" s="48"/>
      <c r="AE126" s="48"/>
    </row>
    <row r="127" spans="1:31" s="1" customFormat="1" ht="14.25" customHeight="1">
      <c r="A127" s="127" t="s">
        <v>65</v>
      </c>
      <c r="B127" s="23" t="s">
        <v>121</v>
      </c>
      <c r="C127" s="38" t="s">
        <v>86</v>
      </c>
      <c r="D127" s="38" t="s">
        <v>86</v>
      </c>
      <c r="E127" s="28">
        <v>4.1500000000000004</v>
      </c>
      <c r="F127" s="28">
        <v>4.1500000000000004</v>
      </c>
      <c r="G127" s="28">
        <v>2.9</v>
      </c>
      <c r="H127" s="29">
        <v>2.9</v>
      </c>
      <c r="I127" s="28">
        <v>1.95</v>
      </c>
      <c r="J127" s="29">
        <v>1.95</v>
      </c>
      <c r="K127" s="28">
        <v>10.4</v>
      </c>
      <c r="L127" s="29">
        <v>10.4</v>
      </c>
      <c r="M127" s="28">
        <v>70.75</v>
      </c>
      <c r="N127" s="29">
        <v>70.75</v>
      </c>
      <c r="O127" s="82">
        <v>0.08</v>
      </c>
      <c r="P127" s="82">
        <f>O127*40/60</f>
        <v>5.3333333333333337E-2</v>
      </c>
      <c r="Q127" s="82">
        <v>0.06</v>
      </c>
      <c r="R127" s="82">
        <f>Q127*40/60</f>
        <v>0.04</v>
      </c>
      <c r="S127" s="28">
        <v>0.14000000000000001</v>
      </c>
      <c r="T127" s="29">
        <v>0.14000000000000001</v>
      </c>
      <c r="U127" s="29">
        <v>70.8</v>
      </c>
      <c r="V127" s="29">
        <f>U127*40/60</f>
        <v>47.2</v>
      </c>
      <c r="W127" s="29">
        <v>0.81</v>
      </c>
      <c r="X127" s="69">
        <f>W127*40/60</f>
        <v>0.54000000000000015</v>
      </c>
      <c r="Y127" s="54"/>
      <c r="Z127" s="52"/>
      <c r="AA127" s="52"/>
      <c r="AB127" s="52"/>
      <c r="AC127" s="52"/>
      <c r="AD127" s="52"/>
    </row>
    <row r="128" spans="1:31" ht="15" customHeight="1">
      <c r="A128" s="128" t="s">
        <v>61</v>
      </c>
      <c r="B128" s="59" t="s">
        <v>62</v>
      </c>
      <c r="C128" s="60" t="s">
        <v>63</v>
      </c>
      <c r="D128" s="60" t="s">
        <v>63</v>
      </c>
      <c r="E128" s="56">
        <v>3.92</v>
      </c>
      <c r="F128" s="56">
        <v>3.92</v>
      </c>
      <c r="G128" s="56">
        <v>5.0999999999999996</v>
      </c>
      <c r="H128" s="56">
        <v>5.0999999999999996</v>
      </c>
      <c r="I128" s="57">
        <v>4.5999999999999996</v>
      </c>
      <c r="J128" s="57">
        <v>4.5999999999999996</v>
      </c>
      <c r="K128" s="57">
        <v>0.3</v>
      </c>
      <c r="L128" s="57">
        <v>0.3</v>
      </c>
      <c r="M128" s="57">
        <v>63</v>
      </c>
      <c r="N128" s="57">
        <v>63</v>
      </c>
      <c r="O128" s="66">
        <v>0.03</v>
      </c>
      <c r="P128" s="66">
        <v>0.03</v>
      </c>
      <c r="Q128" s="66">
        <v>0.18</v>
      </c>
      <c r="R128" s="66">
        <v>0.18</v>
      </c>
      <c r="S128" s="66">
        <v>0</v>
      </c>
      <c r="T128" s="66">
        <v>0</v>
      </c>
      <c r="U128" s="66">
        <v>22</v>
      </c>
      <c r="V128" s="66">
        <v>22</v>
      </c>
      <c r="W128" s="66">
        <v>1.08</v>
      </c>
      <c r="X128" s="102">
        <v>1.08</v>
      </c>
      <c r="Y128" s="48"/>
      <c r="Z128" s="48"/>
      <c r="AA128" s="48"/>
      <c r="AB128" s="48"/>
      <c r="AC128" s="48"/>
      <c r="AD128" s="48"/>
      <c r="AE128" s="48"/>
    </row>
    <row r="129" spans="1:33" ht="15" customHeight="1">
      <c r="A129" s="128" t="s">
        <v>81</v>
      </c>
      <c r="B129" s="59" t="s">
        <v>115</v>
      </c>
      <c r="C129" s="103">
        <v>200</v>
      </c>
      <c r="D129" s="103">
        <v>150</v>
      </c>
      <c r="E129" s="56">
        <v>6.95</v>
      </c>
      <c r="F129" s="56">
        <v>5.21</v>
      </c>
      <c r="G129" s="28">
        <v>5.76</v>
      </c>
      <c r="H129" s="28">
        <v>4.32</v>
      </c>
      <c r="I129" s="28">
        <v>6.64</v>
      </c>
      <c r="J129" s="28">
        <v>4.9800000000000004</v>
      </c>
      <c r="K129" s="28">
        <v>19.28</v>
      </c>
      <c r="L129" s="28">
        <f>K129*150/200</f>
        <v>14.46</v>
      </c>
      <c r="M129" s="28">
        <v>160</v>
      </c>
      <c r="N129" s="28">
        <v>120</v>
      </c>
      <c r="O129" s="29">
        <v>0.09</v>
      </c>
      <c r="P129" s="28">
        <f>O129*150/200</f>
        <v>6.7500000000000004E-2</v>
      </c>
      <c r="Q129" s="29">
        <v>0.14000000000000001</v>
      </c>
      <c r="R129" s="28">
        <f>Q129*150/200</f>
        <v>0.10500000000000002</v>
      </c>
      <c r="S129" s="29">
        <v>0.9</v>
      </c>
      <c r="T129" s="28">
        <v>0.67</v>
      </c>
      <c r="U129" s="57">
        <v>129.32</v>
      </c>
      <c r="V129" s="56">
        <f>U129*150/200</f>
        <v>96.99</v>
      </c>
      <c r="W129" s="57">
        <v>0.42</v>
      </c>
      <c r="X129" s="56">
        <f>W129*150/200</f>
        <v>0.315</v>
      </c>
    </row>
    <row r="130" spans="1:33" ht="15.9" customHeight="1">
      <c r="A130" s="127" t="s">
        <v>51</v>
      </c>
      <c r="B130" s="23" t="s">
        <v>54</v>
      </c>
      <c r="C130" s="38" t="s">
        <v>31</v>
      </c>
      <c r="D130" s="38" t="s">
        <v>6</v>
      </c>
      <c r="E130" s="28">
        <v>6.01</v>
      </c>
      <c r="F130" s="28">
        <v>4.84</v>
      </c>
      <c r="G130" s="28">
        <v>2.85</v>
      </c>
      <c r="H130" s="29">
        <v>2.34</v>
      </c>
      <c r="I130" s="28">
        <v>2.41</v>
      </c>
      <c r="J130" s="29">
        <v>2</v>
      </c>
      <c r="K130" s="28">
        <v>14.36</v>
      </c>
      <c r="L130" s="29">
        <v>10.63</v>
      </c>
      <c r="M130" s="28">
        <v>91</v>
      </c>
      <c r="N130" s="29">
        <v>70</v>
      </c>
      <c r="O130" s="28">
        <f>P130*180/150</f>
        <v>1.2E-2</v>
      </c>
      <c r="P130" s="39">
        <v>0.01</v>
      </c>
      <c r="Q130" s="28">
        <f>R130*180/150</f>
        <v>8.4000000000000005E-2</v>
      </c>
      <c r="R130" s="39">
        <v>7.0000000000000007E-2</v>
      </c>
      <c r="S130" s="28">
        <v>1.17</v>
      </c>
      <c r="T130" s="29">
        <f>S130*150/180</f>
        <v>0.97499999999999998</v>
      </c>
      <c r="U130" s="28">
        <f>V130*180/150</f>
        <v>57.515999999999998</v>
      </c>
      <c r="V130" s="39">
        <v>47.93</v>
      </c>
      <c r="W130" s="28">
        <f>X130*180/150</f>
        <v>0.26400000000000001</v>
      </c>
      <c r="X130" s="39">
        <v>0.22</v>
      </c>
      <c r="Y130" s="48"/>
      <c r="Z130" s="48"/>
      <c r="AA130" s="48"/>
      <c r="AB130" s="48"/>
      <c r="AC130" s="48"/>
      <c r="AD130" s="48"/>
      <c r="AE130" s="48"/>
    </row>
    <row r="131" spans="1:33" ht="15" customHeight="1">
      <c r="A131" s="22"/>
      <c r="B131" s="23" t="s">
        <v>7</v>
      </c>
      <c r="C131" s="38"/>
      <c r="D131" s="38"/>
      <c r="E131" s="17">
        <f>SUM(E127:E130)</f>
        <v>21.03</v>
      </c>
      <c r="F131" s="17">
        <f>SUM(F127:F130)</f>
        <v>18.12</v>
      </c>
      <c r="G131" s="17">
        <f t="shared" ref="G131:T131" si="28">SUM(G127:G130)</f>
        <v>16.61</v>
      </c>
      <c r="H131" s="17">
        <f t="shared" si="28"/>
        <v>14.66</v>
      </c>
      <c r="I131" s="17">
        <f t="shared" si="28"/>
        <v>15.6</v>
      </c>
      <c r="J131" s="17">
        <f t="shared" si="28"/>
        <v>13.530000000000001</v>
      </c>
      <c r="K131" s="17">
        <f t="shared" si="28"/>
        <v>44.34</v>
      </c>
      <c r="L131" s="17">
        <f t="shared" si="28"/>
        <v>35.790000000000006</v>
      </c>
      <c r="M131" s="17">
        <f t="shared" si="28"/>
        <v>384.75</v>
      </c>
      <c r="N131" s="17">
        <f t="shared" si="28"/>
        <v>323.75</v>
      </c>
      <c r="O131" s="17">
        <f t="shared" si="28"/>
        <v>0.21200000000000002</v>
      </c>
      <c r="P131" s="17">
        <f t="shared" si="28"/>
        <v>0.16083333333333336</v>
      </c>
      <c r="Q131" s="17">
        <f t="shared" si="28"/>
        <v>0.46400000000000002</v>
      </c>
      <c r="R131" s="17">
        <f t="shared" si="28"/>
        <v>0.39500000000000002</v>
      </c>
      <c r="S131" s="17">
        <f t="shared" si="28"/>
        <v>2.21</v>
      </c>
      <c r="T131" s="17">
        <f t="shared" si="28"/>
        <v>1.7850000000000001</v>
      </c>
      <c r="U131" s="17">
        <f>SUM(U127:U130)</f>
        <v>279.63600000000002</v>
      </c>
      <c r="V131" s="17">
        <f>SUM(V127:V130)</f>
        <v>214.12</v>
      </c>
      <c r="W131" s="17">
        <f>SUM(W127:W130)</f>
        <v>2.5739999999999998</v>
      </c>
      <c r="X131" s="17">
        <f>SUM(X127:X130)</f>
        <v>2.1550000000000002</v>
      </c>
      <c r="Y131" s="58"/>
      <c r="Z131" s="53"/>
      <c r="AA131" s="53"/>
      <c r="AB131" s="53"/>
      <c r="AC131" s="53"/>
      <c r="AD131" s="48"/>
      <c r="AE131" s="48"/>
    </row>
    <row r="132" spans="1:33" ht="15" customHeight="1">
      <c r="A132" s="22"/>
      <c r="B132" s="87" t="s">
        <v>19</v>
      </c>
      <c r="C132" s="38"/>
      <c r="D132" s="38"/>
      <c r="E132" s="28"/>
      <c r="F132" s="28"/>
      <c r="G132" s="28"/>
      <c r="H132" s="40"/>
      <c r="I132" s="40"/>
      <c r="J132" s="40"/>
      <c r="K132" s="40"/>
      <c r="L132" s="40"/>
      <c r="M132" s="40"/>
      <c r="N132" s="40"/>
      <c r="O132" s="36"/>
      <c r="P132" s="36"/>
      <c r="Q132" s="36"/>
      <c r="R132" s="36"/>
      <c r="S132" s="36"/>
      <c r="T132" s="36"/>
      <c r="U132" s="36"/>
      <c r="V132" s="36"/>
      <c r="W132" s="36"/>
      <c r="X132" s="70"/>
      <c r="Y132" s="49"/>
      <c r="Z132" s="48"/>
      <c r="AA132" s="48"/>
      <c r="AB132" s="48"/>
      <c r="AC132" s="48"/>
      <c r="AD132" s="48"/>
      <c r="AE132" s="48"/>
    </row>
    <row r="133" spans="1:33" ht="15" customHeight="1">
      <c r="A133" s="128" t="s">
        <v>25</v>
      </c>
      <c r="B133" s="59" t="s">
        <v>75</v>
      </c>
      <c r="C133" s="60" t="s">
        <v>6</v>
      </c>
      <c r="D133" s="60" t="s">
        <v>6</v>
      </c>
      <c r="E133" s="56">
        <v>12.36</v>
      </c>
      <c r="F133" s="56">
        <v>12.36</v>
      </c>
      <c r="G133" s="61">
        <f>H133*150/135</f>
        <v>5</v>
      </c>
      <c r="H133" s="61">
        <v>4.5</v>
      </c>
      <c r="I133" s="61">
        <f>J133*150/135</f>
        <v>4.177777777777778</v>
      </c>
      <c r="J133" s="61">
        <v>3.76</v>
      </c>
      <c r="K133" s="61">
        <f>L133*150/135</f>
        <v>6.666666666666667</v>
      </c>
      <c r="L133" s="61">
        <v>6</v>
      </c>
      <c r="M133" s="61">
        <v>75.760000000000005</v>
      </c>
      <c r="N133" s="61">
        <v>75.760000000000005</v>
      </c>
      <c r="O133" s="61">
        <f>P133*180/150</f>
        <v>0.06</v>
      </c>
      <c r="P133" s="61">
        <v>0.05</v>
      </c>
      <c r="Q133" s="61">
        <f>R133*180/150</f>
        <v>0.31200000000000006</v>
      </c>
      <c r="R133" s="61">
        <v>0.26</v>
      </c>
      <c r="S133" s="61">
        <f>T133*150/135</f>
        <v>1.2222222222222223</v>
      </c>
      <c r="T133" s="61">
        <v>1.1000000000000001</v>
      </c>
      <c r="U133" s="28">
        <v>235.31</v>
      </c>
      <c r="V133" s="29">
        <f>U133*150/180</f>
        <v>196.09166666666667</v>
      </c>
      <c r="W133" s="28">
        <v>0.19</v>
      </c>
      <c r="X133" s="69">
        <f>W133*150/180</f>
        <v>0.15833333333333333</v>
      </c>
      <c r="Y133" s="54"/>
      <c r="Z133" s="52"/>
      <c r="AA133" s="52"/>
      <c r="AB133" s="52"/>
      <c r="AC133" s="52"/>
      <c r="AD133" s="52"/>
    </row>
    <row r="134" spans="1:33" ht="15" customHeight="1">
      <c r="A134" s="22"/>
      <c r="B134" s="23" t="s">
        <v>7</v>
      </c>
      <c r="C134" s="38"/>
      <c r="D134" s="38"/>
      <c r="E134" s="17">
        <f>SUM(E133)</f>
        <v>12.36</v>
      </c>
      <c r="F134" s="17">
        <f>SUM(F133)</f>
        <v>12.36</v>
      </c>
      <c r="G134" s="17">
        <f t="shared" ref="G134:T134" si="29">SUM(G133)</f>
        <v>5</v>
      </c>
      <c r="H134" s="17">
        <f t="shared" si="29"/>
        <v>4.5</v>
      </c>
      <c r="I134" s="17">
        <f t="shared" si="29"/>
        <v>4.177777777777778</v>
      </c>
      <c r="J134" s="17">
        <f t="shared" si="29"/>
        <v>3.76</v>
      </c>
      <c r="K134" s="17">
        <f t="shared" si="29"/>
        <v>6.666666666666667</v>
      </c>
      <c r="L134" s="17">
        <f t="shared" si="29"/>
        <v>6</v>
      </c>
      <c r="M134" s="17">
        <f t="shared" si="29"/>
        <v>75.760000000000005</v>
      </c>
      <c r="N134" s="17">
        <f t="shared" si="29"/>
        <v>75.760000000000005</v>
      </c>
      <c r="O134" s="17">
        <f t="shared" si="29"/>
        <v>0.06</v>
      </c>
      <c r="P134" s="17">
        <f t="shared" si="29"/>
        <v>0.05</v>
      </c>
      <c r="Q134" s="17">
        <f t="shared" si="29"/>
        <v>0.31200000000000006</v>
      </c>
      <c r="R134" s="17">
        <f t="shared" si="29"/>
        <v>0.26</v>
      </c>
      <c r="S134" s="17">
        <f t="shared" si="29"/>
        <v>1.2222222222222223</v>
      </c>
      <c r="T134" s="17">
        <f t="shared" si="29"/>
        <v>1.1000000000000001</v>
      </c>
      <c r="U134" s="17">
        <f>SUM(U133)</f>
        <v>235.31</v>
      </c>
      <c r="V134" s="17">
        <f>SUM(V133)</f>
        <v>196.09166666666667</v>
      </c>
      <c r="W134" s="17">
        <f>SUM(W133)</f>
        <v>0.19</v>
      </c>
      <c r="X134" s="17">
        <f>SUM(X133)</f>
        <v>0.15833333333333333</v>
      </c>
      <c r="Y134" s="67">
        <f>SUM(Y133)</f>
        <v>0</v>
      </c>
      <c r="Z134" s="53"/>
      <c r="AA134" s="53"/>
      <c r="AB134" s="53"/>
      <c r="AC134" s="53"/>
      <c r="AD134" s="53"/>
      <c r="AE134" s="48"/>
    </row>
    <row r="135" spans="1:33" ht="15" customHeight="1">
      <c r="A135" s="22"/>
      <c r="B135" s="87" t="s">
        <v>9</v>
      </c>
      <c r="C135" s="38"/>
      <c r="D135" s="38"/>
      <c r="E135" s="28"/>
      <c r="F135" s="28"/>
      <c r="G135" s="28"/>
      <c r="H135" s="29"/>
      <c r="I135" s="29"/>
      <c r="J135" s="29"/>
      <c r="K135" s="29"/>
      <c r="L135" s="29"/>
      <c r="M135" s="29"/>
      <c r="N135" s="29"/>
      <c r="O135" s="36"/>
      <c r="P135" s="36"/>
      <c r="Q135" s="36"/>
      <c r="R135" s="36"/>
      <c r="S135" s="36"/>
      <c r="T135" s="36"/>
      <c r="U135" s="36"/>
      <c r="V135" s="36"/>
      <c r="W135" s="36"/>
      <c r="X135" s="70"/>
      <c r="Y135" s="49"/>
      <c r="Z135" s="48"/>
      <c r="AA135" s="48"/>
      <c r="AB135" s="48"/>
      <c r="AC135" s="48"/>
      <c r="AD135" s="48"/>
      <c r="AE135" s="48"/>
    </row>
    <row r="136" spans="1:33">
      <c r="A136" s="143" t="s">
        <v>151</v>
      </c>
      <c r="B136" s="23" t="s">
        <v>152</v>
      </c>
      <c r="C136" s="38" t="s">
        <v>102</v>
      </c>
      <c r="D136" s="38" t="s">
        <v>118</v>
      </c>
      <c r="E136" s="28">
        <v>1.1499999999999999</v>
      </c>
      <c r="F136" s="28">
        <v>1.04</v>
      </c>
      <c r="G136" s="29">
        <f>H136*50/45</f>
        <v>0.72222222222222221</v>
      </c>
      <c r="H136" s="29">
        <v>0.65</v>
      </c>
      <c r="I136" s="29">
        <f>J136*50/45</f>
        <v>2.2444444444444445</v>
      </c>
      <c r="J136" s="29">
        <v>2.02</v>
      </c>
      <c r="K136" s="29">
        <f>L136*50/45</f>
        <v>2.2000000000000002</v>
      </c>
      <c r="L136" s="29">
        <v>1.98</v>
      </c>
      <c r="M136" s="29">
        <f>N136*50/45</f>
        <v>32</v>
      </c>
      <c r="N136" s="29">
        <v>28.8</v>
      </c>
      <c r="O136" s="35">
        <v>0.02</v>
      </c>
      <c r="P136" s="29">
        <f>O136*30/40</f>
        <v>1.4999999999999999E-2</v>
      </c>
      <c r="Q136" s="35">
        <v>0.02</v>
      </c>
      <c r="R136" s="29">
        <f>Q136*30/40</f>
        <v>1.4999999999999999E-2</v>
      </c>
      <c r="S136" s="29">
        <f>T136*50/45</f>
        <v>19.3</v>
      </c>
      <c r="T136" s="29">
        <v>17.37</v>
      </c>
      <c r="U136" s="35">
        <v>5.6</v>
      </c>
      <c r="V136" s="29">
        <f>U136*30/40</f>
        <v>4.2</v>
      </c>
      <c r="W136" s="35">
        <v>0.56000000000000005</v>
      </c>
      <c r="X136" s="29">
        <f>W136*30/40</f>
        <v>0.42000000000000004</v>
      </c>
    </row>
    <row r="137" spans="1:33" ht="30" customHeight="1">
      <c r="A137" s="158" t="s">
        <v>176</v>
      </c>
      <c r="B137" s="159" t="s">
        <v>177</v>
      </c>
      <c r="C137" s="160" t="s">
        <v>66</v>
      </c>
      <c r="D137" s="160" t="s">
        <v>67</v>
      </c>
      <c r="E137" s="161">
        <v>14.5</v>
      </c>
      <c r="F137" s="161">
        <v>13.19</v>
      </c>
      <c r="G137" s="123">
        <v>7.64</v>
      </c>
      <c r="H137" s="123">
        <f>G137*175/225</f>
        <v>5.9422222222222221</v>
      </c>
      <c r="I137" s="123">
        <v>7.74</v>
      </c>
      <c r="J137" s="123">
        <f>I137*175/225</f>
        <v>6.02</v>
      </c>
      <c r="K137" s="123">
        <v>11.42</v>
      </c>
      <c r="L137" s="123">
        <f>K137*175/225</f>
        <v>8.8822222222222216</v>
      </c>
      <c r="M137" s="123">
        <v>148</v>
      </c>
      <c r="N137" s="123">
        <f>M137*175/225</f>
        <v>115.11111111111111</v>
      </c>
      <c r="O137" s="123">
        <v>0.21</v>
      </c>
      <c r="P137" s="123">
        <f>O137*150/200</f>
        <v>0.1575</v>
      </c>
      <c r="Q137" s="123">
        <v>0.05</v>
      </c>
      <c r="R137" s="123">
        <f>Q137*150/200</f>
        <v>3.7499999999999999E-2</v>
      </c>
      <c r="S137" s="123">
        <v>0.65</v>
      </c>
      <c r="T137" s="123">
        <f>S137*175/225</f>
        <v>0.50555555555555554</v>
      </c>
      <c r="U137" s="61">
        <v>32.5</v>
      </c>
      <c r="V137" s="61">
        <f>U137*185/235</f>
        <v>25.585106382978722</v>
      </c>
      <c r="W137" s="61">
        <v>1.59</v>
      </c>
      <c r="X137" s="112">
        <f>W137*185/235</f>
        <v>1.2517021276595746</v>
      </c>
      <c r="Y137" s="49"/>
      <c r="Z137" s="52"/>
      <c r="AA137" s="52"/>
      <c r="AB137" s="52"/>
      <c r="AC137" s="48"/>
      <c r="AD137" s="48"/>
      <c r="AE137" s="48"/>
    </row>
    <row r="138" spans="1:33" ht="17.25" customHeight="1">
      <c r="A138" s="128" t="s">
        <v>126</v>
      </c>
      <c r="B138" s="62" t="s">
        <v>127</v>
      </c>
      <c r="C138" s="60" t="s">
        <v>10</v>
      </c>
      <c r="D138" s="60" t="s">
        <v>10</v>
      </c>
      <c r="E138" s="56">
        <v>17.27</v>
      </c>
      <c r="F138" s="56">
        <v>17.27</v>
      </c>
      <c r="G138" s="56">
        <v>9</v>
      </c>
      <c r="H138" s="57">
        <v>9</v>
      </c>
      <c r="I138" s="56">
        <v>10</v>
      </c>
      <c r="J138" s="56">
        <v>10</v>
      </c>
      <c r="K138" s="57">
        <v>3</v>
      </c>
      <c r="L138" s="57">
        <v>3</v>
      </c>
      <c r="M138" s="57">
        <v>139</v>
      </c>
      <c r="N138" s="57">
        <v>139</v>
      </c>
      <c r="O138" s="57">
        <v>7.0000000000000007E-2</v>
      </c>
      <c r="P138" s="57">
        <v>7.0000000000000007E-2</v>
      </c>
      <c r="Q138" s="57">
        <v>0.09</v>
      </c>
      <c r="R138" s="57">
        <v>0.09</v>
      </c>
      <c r="S138" s="57">
        <v>0.34</v>
      </c>
      <c r="T138" s="57">
        <v>0.34</v>
      </c>
      <c r="U138" s="57">
        <v>12.73</v>
      </c>
      <c r="V138" s="57">
        <v>12.73</v>
      </c>
      <c r="W138" s="57">
        <v>0.74</v>
      </c>
      <c r="X138" s="65">
        <v>0.74</v>
      </c>
      <c r="Y138" s="49"/>
      <c r="Z138" s="48"/>
      <c r="AA138" s="48"/>
      <c r="AB138" s="48"/>
      <c r="AC138" s="48"/>
      <c r="AD138" s="48"/>
    </row>
    <row r="139" spans="1:33" ht="15.9" customHeight="1">
      <c r="A139" s="128" t="s">
        <v>106</v>
      </c>
      <c r="B139" s="59" t="s">
        <v>107</v>
      </c>
      <c r="C139" s="60" t="s">
        <v>78</v>
      </c>
      <c r="D139" s="60" t="s">
        <v>96</v>
      </c>
      <c r="E139" s="57">
        <v>3.4</v>
      </c>
      <c r="F139" s="57">
        <v>2.62</v>
      </c>
      <c r="G139" s="57">
        <v>27.52</v>
      </c>
      <c r="H139" s="57">
        <f>G139*100/130</f>
        <v>21.169230769230769</v>
      </c>
      <c r="I139" s="57">
        <v>9.02</v>
      </c>
      <c r="J139" s="57">
        <f>I139*100/130</f>
        <v>6.9384615384615387</v>
      </c>
      <c r="K139" s="57">
        <v>60.74</v>
      </c>
      <c r="L139" s="57">
        <f>K139*100/130</f>
        <v>46.723076923076924</v>
      </c>
      <c r="M139" s="126">
        <v>434.23</v>
      </c>
      <c r="N139" s="57">
        <f>M139*100/130</f>
        <v>334.02307692307693</v>
      </c>
      <c r="O139" s="126">
        <v>0.56999999999999995</v>
      </c>
      <c r="P139" s="57">
        <f>O139*100/130</f>
        <v>0.4384615384615384</v>
      </c>
      <c r="Q139" s="126">
        <v>0.12</v>
      </c>
      <c r="R139" s="57">
        <f>Q139*100/130</f>
        <v>9.2307692307692313E-2</v>
      </c>
      <c r="S139" s="126">
        <v>0</v>
      </c>
      <c r="T139" s="57">
        <f>S139*100/130</f>
        <v>0</v>
      </c>
      <c r="U139" s="57">
        <f>V139*130/100</f>
        <v>11.973000000000003</v>
      </c>
      <c r="V139" s="57">
        <v>9.2100000000000009</v>
      </c>
      <c r="W139" s="57">
        <f>X139*130/100</f>
        <v>0.96200000000000008</v>
      </c>
      <c r="X139" s="57">
        <v>0.74</v>
      </c>
      <c r="Y139" s="108"/>
      <c r="Z139" s="109"/>
      <c r="AA139" s="109"/>
      <c r="AB139" s="109"/>
    </row>
    <row r="140" spans="1:33" ht="15" customHeight="1">
      <c r="A140" s="128" t="s">
        <v>109</v>
      </c>
      <c r="B140" s="59" t="s">
        <v>122</v>
      </c>
      <c r="C140" s="60" t="s">
        <v>5</v>
      </c>
      <c r="D140" s="60" t="s">
        <v>6</v>
      </c>
      <c r="E140" s="56">
        <v>3.2</v>
      </c>
      <c r="F140" s="56">
        <v>2.4</v>
      </c>
      <c r="G140" s="61">
        <v>0.4</v>
      </c>
      <c r="H140" s="63">
        <v>0.3</v>
      </c>
      <c r="I140" s="61">
        <f>J140*200/150</f>
        <v>0</v>
      </c>
      <c r="J140" s="63">
        <v>0</v>
      </c>
      <c r="K140" s="61">
        <v>27.4</v>
      </c>
      <c r="L140" s="63">
        <v>20.5</v>
      </c>
      <c r="M140" s="61">
        <v>111.2</v>
      </c>
      <c r="N140" s="63">
        <v>83.2</v>
      </c>
      <c r="O140" s="57">
        <v>0.02</v>
      </c>
      <c r="P140" s="57">
        <f>O140*150/200</f>
        <v>1.4999999999999999E-2</v>
      </c>
      <c r="Q140" s="57">
        <v>0.01</v>
      </c>
      <c r="R140" s="57">
        <f>Q140*150/200</f>
        <v>7.4999999999999997E-3</v>
      </c>
      <c r="S140" s="57">
        <v>0</v>
      </c>
      <c r="T140" s="57">
        <v>0</v>
      </c>
      <c r="U140" s="61">
        <v>11.5</v>
      </c>
      <c r="V140" s="57">
        <f>U140*150/200</f>
        <v>8.625</v>
      </c>
      <c r="W140" s="112">
        <v>0.48</v>
      </c>
      <c r="X140" s="65">
        <f>W140*150/200</f>
        <v>0.36</v>
      </c>
      <c r="Y140" s="49"/>
      <c r="Z140" s="48"/>
      <c r="AA140" s="48"/>
      <c r="AB140" s="48"/>
      <c r="AC140" s="48"/>
      <c r="AD140" s="48"/>
      <c r="AE140" s="48"/>
      <c r="AF140" s="48"/>
      <c r="AG140" s="48"/>
    </row>
    <row r="141" spans="1:33" s="16" customFormat="1" ht="15" customHeight="1">
      <c r="A141" s="127"/>
      <c r="B141" s="23" t="s">
        <v>11</v>
      </c>
      <c r="C141" s="38" t="s">
        <v>14</v>
      </c>
      <c r="D141" s="38" t="s">
        <v>14</v>
      </c>
      <c r="E141" s="28">
        <v>1.1100000000000001</v>
      </c>
      <c r="F141" s="28">
        <v>1.1100000000000001</v>
      </c>
      <c r="G141" s="28">
        <v>1.6</v>
      </c>
      <c r="H141" s="28">
        <v>1.6</v>
      </c>
      <c r="I141" s="28">
        <v>0.4</v>
      </c>
      <c r="J141" s="28">
        <v>0.4</v>
      </c>
      <c r="K141" s="28">
        <v>10</v>
      </c>
      <c r="L141" s="28">
        <v>10</v>
      </c>
      <c r="M141" s="29">
        <v>54</v>
      </c>
      <c r="N141" s="29">
        <v>54</v>
      </c>
      <c r="O141" s="37">
        <v>0.04</v>
      </c>
      <c r="P141" s="42">
        <v>0.04</v>
      </c>
      <c r="Q141" s="37">
        <v>0.02</v>
      </c>
      <c r="R141" s="42">
        <v>0.02</v>
      </c>
      <c r="S141" s="37">
        <v>0</v>
      </c>
      <c r="T141" s="42">
        <v>0</v>
      </c>
      <c r="U141" s="37">
        <v>7.4</v>
      </c>
      <c r="V141" s="42">
        <v>7.4</v>
      </c>
      <c r="W141" s="37">
        <v>0.56000000000000005</v>
      </c>
      <c r="X141" s="42">
        <v>0.56000000000000005</v>
      </c>
      <c r="Y141" s="51"/>
      <c r="Z141" s="51"/>
      <c r="AA141" s="51"/>
      <c r="AB141" s="51"/>
      <c r="AC141" s="51"/>
      <c r="AD141" s="51"/>
      <c r="AE141" s="51"/>
    </row>
    <row r="142" spans="1:33" ht="15" customHeight="1">
      <c r="A142" s="127"/>
      <c r="B142" s="23" t="s">
        <v>48</v>
      </c>
      <c r="C142" s="38" t="s">
        <v>79</v>
      </c>
      <c r="D142" s="38" t="s">
        <v>80</v>
      </c>
      <c r="E142" s="28">
        <v>2.09</v>
      </c>
      <c r="F142" s="28">
        <v>1.83</v>
      </c>
      <c r="G142" s="28">
        <v>3.25</v>
      </c>
      <c r="H142" s="29">
        <v>2.84</v>
      </c>
      <c r="I142" s="29">
        <v>0.46</v>
      </c>
      <c r="J142" s="29">
        <f>I142*40.6/46</f>
        <v>0.40600000000000003</v>
      </c>
      <c r="K142" s="29">
        <v>20.88</v>
      </c>
      <c r="L142" s="29">
        <v>18.27</v>
      </c>
      <c r="M142" s="29">
        <v>102.08</v>
      </c>
      <c r="N142" s="29">
        <v>89.32</v>
      </c>
      <c r="O142" s="35">
        <v>0.06</v>
      </c>
      <c r="P142" s="39">
        <v>0.04</v>
      </c>
      <c r="Q142" s="35">
        <v>0.04</v>
      </c>
      <c r="R142" s="39">
        <v>0.03</v>
      </c>
      <c r="S142" s="35">
        <v>0</v>
      </c>
      <c r="T142" s="29">
        <f>S142*40.6/46</f>
        <v>0</v>
      </c>
      <c r="U142" s="37">
        <v>17</v>
      </c>
      <c r="V142" s="42">
        <v>13.6</v>
      </c>
      <c r="W142" s="37">
        <v>1.1499999999999999</v>
      </c>
      <c r="X142" s="42">
        <v>0.92</v>
      </c>
      <c r="Y142" s="48"/>
      <c r="Z142" s="48"/>
      <c r="AA142" s="48"/>
      <c r="AB142" s="48"/>
      <c r="AC142" s="48"/>
      <c r="AD142" s="48"/>
      <c r="AE142" s="48"/>
    </row>
    <row r="143" spans="1:33" ht="15" customHeight="1">
      <c r="A143" s="22"/>
      <c r="B143" s="23" t="s">
        <v>7</v>
      </c>
      <c r="C143" s="38"/>
      <c r="D143" s="38"/>
      <c r="E143" s="17">
        <f>SUM(E136:E142)</f>
        <v>42.72</v>
      </c>
      <c r="F143" s="17">
        <f>SUM(F136:F142)</f>
        <v>39.459999999999994</v>
      </c>
      <c r="G143" s="17">
        <f t="shared" ref="G143:T143" si="30">SUM(G136:G142)</f>
        <v>50.132222222222225</v>
      </c>
      <c r="H143" s="17">
        <f t="shared" si="30"/>
        <v>41.501452991452993</v>
      </c>
      <c r="I143" s="17">
        <f>SUM(I136:I142)+2</f>
        <v>31.864444444444445</v>
      </c>
      <c r="J143" s="17">
        <f>SUM(J136:J142)+0</f>
        <v>25.784461538461535</v>
      </c>
      <c r="K143" s="17">
        <f>SUM(K136:K142)+11</f>
        <v>146.63999999999999</v>
      </c>
      <c r="L143" s="17">
        <f t="shared" si="30"/>
        <v>109.35529914529914</v>
      </c>
      <c r="M143" s="17">
        <f t="shared" si="30"/>
        <v>1020.5100000000001</v>
      </c>
      <c r="N143" s="17">
        <f t="shared" si="30"/>
        <v>843.45418803418806</v>
      </c>
      <c r="O143" s="17">
        <f t="shared" si="30"/>
        <v>0.99</v>
      </c>
      <c r="P143" s="17">
        <f t="shared" si="30"/>
        <v>0.77596153846153848</v>
      </c>
      <c r="Q143" s="17">
        <f t="shared" si="30"/>
        <v>0.35000000000000003</v>
      </c>
      <c r="R143" s="17">
        <f t="shared" si="30"/>
        <v>0.29230769230769227</v>
      </c>
      <c r="S143" s="17">
        <f t="shared" si="30"/>
        <v>20.29</v>
      </c>
      <c r="T143" s="17">
        <f t="shared" si="30"/>
        <v>18.215555555555557</v>
      </c>
      <c r="U143" s="17">
        <f>SUM(U136:U142)</f>
        <v>98.703000000000003</v>
      </c>
      <c r="V143" s="17">
        <f>SUM(V136:V142)</f>
        <v>81.350106382978723</v>
      </c>
      <c r="W143" s="17">
        <f>SUM(W136:W142)</f>
        <v>6.0420000000000016</v>
      </c>
      <c r="X143" s="17">
        <f>SUM(X136:X142)</f>
        <v>4.9917021276595746</v>
      </c>
      <c r="Y143" s="67">
        <f>SUM(Y136:Y142)</f>
        <v>0</v>
      </c>
      <c r="Z143" s="53"/>
      <c r="AA143" s="53"/>
      <c r="AB143" s="53"/>
      <c r="AC143" s="53"/>
      <c r="AD143" s="48"/>
      <c r="AE143" s="48"/>
    </row>
    <row r="144" spans="1:33" ht="15" customHeight="1">
      <c r="A144" s="22"/>
      <c r="B144" s="87" t="s">
        <v>12</v>
      </c>
      <c r="C144" s="38"/>
      <c r="D144" s="38"/>
      <c r="E144" s="28"/>
      <c r="F144" s="28"/>
      <c r="G144" s="28"/>
      <c r="H144" s="29"/>
      <c r="I144" s="29"/>
      <c r="J144" s="29"/>
      <c r="K144" s="29"/>
      <c r="L144" s="29"/>
      <c r="M144" s="29"/>
      <c r="N144" s="29"/>
      <c r="O144" s="36"/>
      <c r="P144" s="36"/>
      <c r="Q144" s="36"/>
      <c r="R144" s="36"/>
      <c r="S144" s="36"/>
      <c r="T144" s="36"/>
      <c r="U144" s="36"/>
      <c r="V144" s="36"/>
      <c r="W144" s="36"/>
      <c r="X144" s="70"/>
      <c r="Y144" s="49"/>
      <c r="Z144" s="48"/>
      <c r="AA144" s="48"/>
      <c r="AB144" s="48"/>
      <c r="AC144" s="48"/>
      <c r="AD144" s="48"/>
      <c r="AE144" s="48"/>
    </row>
    <row r="145" spans="1:32" ht="15" customHeight="1">
      <c r="A145" s="127" t="s">
        <v>23</v>
      </c>
      <c r="B145" s="23" t="s">
        <v>20</v>
      </c>
      <c r="C145" s="38" t="s">
        <v>31</v>
      </c>
      <c r="D145" s="38" t="s">
        <v>31</v>
      </c>
      <c r="E145" s="28">
        <v>10.36</v>
      </c>
      <c r="F145" s="28">
        <v>10.36</v>
      </c>
      <c r="G145" s="28">
        <v>5.31</v>
      </c>
      <c r="H145" s="29">
        <v>5.31</v>
      </c>
      <c r="I145" s="28">
        <v>4.5</v>
      </c>
      <c r="J145" s="29">
        <v>4.5</v>
      </c>
      <c r="K145" s="28">
        <v>8.91</v>
      </c>
      <c r="L145" s="29">
        <v>8.91</v>
      </c>
      <c r="M145" s="28">
        <v>97.38</v>
      </c>
      <c r="N145" s="29">
        <v>97.38</v>
      </c>
      <c r="O145" s="28">
        <v>7.0000000000000007E-2</v>
      </c>
      <c r="P145" s="29">
        <v>7.0000000000000007E-2</v>
      </c>
      <c r="Q145" s="28">
        <v>0.3</v>
      </c>
      <c r="R145" s="29">
        <v>0.3</v>
      </c>
      <c r="S145" s="28">
        <v>2.46</v>
      </c>
      <c r="T145" s="29">
        <v>2.46</v>
      </c>
      <c r="U145" s="28">
        <v>275.74</v>
      </c>
      <c r="V145" s="29">
        <v>275.74</v>
      </c>
      <c r="W145" s="28">
        <v>0.23</v>
      </c>
      <c r="X145" s="29">
        <v>0.23</v>
      </c>
      <c r="Y145" s="52"/>
      <c r="Z145" s="52"/>
      <c r="AA145" s="52"/>
      <c r="AB145" s="52"/>
      <c r="AC145" s="52"/>
      <c r="AD145" s="52"/>
      <c r="AE145" s="48"/>
    </row>
    <row r="146" spans="1:32">
      <c r="A146" s="130" t="s">
        <v>128</v>
      </c>
      <c r="B146" s="9" t="s">
        <v>129</v>
      </c>
      <c r="C146" s="38" t="s">
        <v>102</v>
      </c>
      <c r="D146" s="38" t="s">
        <v>102</v>
      </c>
      <c r="E146" s="28">
        <v>1.02</v>
      </c>
      <c r="F146" s="28">
        <v>1.02</v>
      </c>
      <c r="G146" s="28">
        <v>3.04</v>
      </c>
      <c r="H146" s="29">
        <v>3.04</v>
      </c>
      <c r="I146" s="28">
        <v>2.19</v>
      </c>
      <c r="J146" s="29">
        <v>2.19</v>
      </c>
      <c r="K146" s="28">
        <v>19.54</v>
      </c>
      <c r="L146" s="29">
        <v>19.54</v>
      </c>
      <c r="M146" s="28">
        <v>110.1</v>
      </c>
      <c r="N146" s="29">
        <v>110.1</v>
      </c>
      <c r="O146" s="28"/>
      <c r="P146" s="29"/>
      <c r="Q146" s="28"/>
      <c r="R146" s="29"/>
      <c r="S146" s="28">
        <v>0</v>
      </c>
      <c r="T146" s="29">
        <v>0</v>
      </c>
      <c r="U146" s="117"/>
      <c r="V146" s="92"/>
      <c r="W146" s="117"/>
      <c r="X146" s="118"/>
      <c r="Y146" s="52"/>
      <c r="Z146" s="52"/>
      <c r="AA146" s="52"/>
      <c r="AB146" s="52"/>
      <c r="AC146" s="52"/>
      <c r="AD146" s="52"/>
      <c r="AE146" s="48"/>
    </row>
    <row r="147" spans="1:32" ht="15" customHeight="1">
      <c r="A147" s="55"/>
      <c r="B147" s="59" t="s">
        <v>7</v>
      </c>
      <c r="C147" s="111"/>
      <c r="D147" s="111"/>
      <c r="E147" s="119">
        <f>SUM(E145:E146)</f>
        <v>11.379999999999999</v>
      </c>
      <c r="F147" s="119">
        <f>SUM(F145:F146)</f>
        <v>11.379999999999999</v>
      </c>
      <c r="G147" s="119">
        <f t="shared" ref="G147:T147" si="31">SUM(G145:G146)</f>
        <v>8.35</v>
      </c>
      <c r="H147" s="119">
        <f t="shared" si="31"/>
        <v>8.35</v>
      </c>
      <c r="I147" s="119">
        <f t="shared" si="31"/>
        <v>6.6899999999999995</v>
      </c>
      <c r="J147" s="119">
        <f t="shared" si="31"/>
        <v>6.6899999999999995</v>
      </c>
      <c r="K147" s="119">
        <f t="shared" si="31"/>
        <v>28.45</v>
      </c>
      <c r="L147" s="119">
        <f t="shared" si="31"/>
        <v>28.45</v>
      </c>
      <c r="M147" s="119">
        <f t="shared" si="31"/>
        <v>207.48</v>
      </c>
      <c r="N147" s="119">
        <f t="shared" si="31"/>
        <v>207.48</v>
      </c>
      <c r="O147" s="119">
        <f t="shared" si="31"/>
        <v>7.0000000000000007E-2</v>
      </c>
      <c r="P147" s="119">
        <f t="shared" si="31"/>
        <v>7.0000000000000007E-2</v>
      </c>
      <c r="Q147" s="119">
        <f t="shared" si="31"/>
        <v>0.3</v>
      </c>
      <c r="R147" s="119">
        <f t="shared" si="31"/>
        <v>0.3</v>
      </c>
      <c r="S147" s="119">
        <f t="shared" si="31"/>
        <v>2.46</v>
      </c>
      <c r="T147" s="119">
        <f t="shared" si="31"/>
        <v>2.46</v>
      </c>
      <c r="U147" s="76">
        <f>SUM(U145:U145)</f>
        <v>275.74</v>
      </c>
      <c r="V147" s="76">
        <f>SUM(V145:V145)</f>
        <v>275.74</v>
      </c>
      <c r="W147" s="76">
        <f>SUM(W145:W145)</f>
        <v>0.23</v>
      </c>
      <c r="X147" s="120">
        <f>SUM(X145:X145)</f>
        <v>0.23</v>
      </c>
      <c r="Y147" s="53"/>
      <c r="Z147" s="53"/>
      <c r="AA147" s="53"/>
      <c r="AB147" s="53"/>
      <c r="AC147" s="53"/>
      <c r="AD147" s="48"/>
      <c r="AE147" s="48"/>
      <c r="AF147" s="48"/>
    </row>
    <row r="148" spans="1:32" ht="15" customHeight="1">
      <c r="A148" s="22"/>
      <c r="B148" s="87" t="s">
        <v>13</v>
      </c>
      <c r="C148" s="38"/>
      <c r="D148" s="38"/>
      <c r="E148" s="28"/>
      <c r="F148" s="28"/>
      <c r="G148" s="28"/>
      <c r="H148" s="29"/>
      <c r="I148" s="29"/>
      <c r="J148" s="29"/>
      <c r="K148" s="29"/>
      <c r="L148" s="29"/>
      <c r="M148" s="29"/>
      <c r="N148" s="29"/>
      <c r="O148" s="36"/>
      <c r="P148" s="36"/>
      <c r="Q148" s="36"/>
      <c r="R148" s="36"/>
      <c r="S148" s="36"/>
      <c r="T148" s="36"/>
      <c r="U148" s="36"/>
      <c r="V148" s="36"/>
      <c r="W148" s="36"/>
      <c r="X148" s="70"/>
      <c r="Y148" s="49"/>
      <c r="Z148" s="48"/>
      <c r="AA148" s="48"/>
      <c r="AB148" s="48"/>
      <c r="AC148" s="48"/>
      <c r="AD148" s="48"/>
      <c r="AE148" s="48"/>
    </row>
    <row r="149" spans="1:32" ht="15.75" customHeight="1">
      <c r="A149" s="128"/>
      <c r="B149" s="59" t="s">
        <v>137</v>
      </c>
      <c r="C149" s="60" t="s">
        <v>178</v>
      </c>
      <c r="D149" s="60" t="s">
        <v>179</v>
      </c>
      <c r="E149" s="56">
        <v>11.88</v>
      </c>
      <c r="F149" s="56">
        <v>11.88</v>
      </c>
      <c r="G149" s="56">
        <v>2.2200000000000002</v>
      </c>
      <c r="H149" s="56">
        <v>2.2200000000000002</v>
      </c>
      <c r="I149" s="56">
        <v>0</v>
      </c>
      <c r="J149" s="57">
        <v>0</v>
      </c>
      <c r="K149" s="56">
        <v>33.15</v>
      </c>
      <c r="L149" s="56">
        <v>33.15</v>
      </c>
      <c r="M149" s="56">
        <v>162.52000000000001</v>
      </c>
      <c r="N149" s="56">
        <v>162.52000000000001</v>
      </c>
      <c r="O149" s="56">
        <v>0.02</v>
      </c>
      <c r="P149" s="57">
        <v>0.02</v>
      </c>
      <c r="Q149" s="56">
        <f>R149*160/150</f>
        <v>5.3333333333333337E-2</v>
      </c>
      <c r="R149" s="57">
        <v>0.05</v>
      </c>
      <c r="S149" s="56">
        <v>17</v>
      </c>
      <c r="T149" s="56">
        <v>17</v>
      </c>
      <c r="U149" s="28">
        <v>20.69</v>
      </c>
      <c r="V149" s="29">
        <v>0</v>
      </c>
      <c r="W149" s="28">
        <v>0.78</v>
      </c>
      <c r="X149" s="29">
        <v>0</v>
      </c>
      <c r="Y149" s="1"/>
      <c r="Z149" s="52"/>
      <c r="AA149" s="52"/>
      <c r="AB149" s="52"/>
      <c r="AC149" s="52"/>
    </row>
    <row r="150" spans="1:32" ht="26.25" customHeight="1">
      <c r="A150" s="127" t="s">
        <v>132</v>
      </c>
      <c r="B150" s="23" t="s">
        <v>133</v>
      </c>
      <c r="C150" s="38" t="s">
        <v>134</v>
      </c>
      <c r="D150" s="38" t="s">
        <v>64</v>
      </c>
      <c r="E150" s="28">
        <v>49.31</v>
      </c>
      <c r="F150" s="28">
        <v>33.78</v>
      </c>
      <c r="G150" s="28">
        <v>22.93</v>
      </c>
      <c r="H150" s="29">
        <v>15.87</v>
      </c>
      <c r="I150" s="28">
        <v>17.399999999999999</v>
      </c>
      <c r="J150" s="29">
        <v>12.95</v>
      </c>
      <c r="K150" s="28">
        <v>38.619999999999997</v>
      </c>
      <c r="L150" s="29">
        <v>29.72</v>
      </c>
      <c r="M150" s="28">
        <v>402.9</v>
      </c>
      <c r="N150" s="29">
        <v>299.05</v>
      </c>
      <c r="O150" s="28">
        <f>P150*150/100</f>
        <v>0.10500000000000002</v>
      </c>
      <c r="P150" s="29">
        <v>7.0000000000000007E-2</v>
      </c>
      <c r="Q150" s="28">
        <f>R150*150/100</f>
        <v>0.435</v>
      </c>
      <c r="R150" s="29">
        <v>0.28999999999999998</v>
      </c>
      <c r="S150" s="28">
        <v>0</v>
      </c>
      <c r="T150" s="29">
        <v>0</v>
      </c>
      <c r="U150" s="57">
        <f>V150*130/100</f>
        <v>11.973000000000003</v>
      </c>
      <c r="V150" s="57">
        <v>9.2100000000000009</v>
      </c>
      <c r="W150" s="57">
        <f>X150*130/100</f>
        <v>0.96200000000000008</v>
      </c>
      <c r="X150" s="57">
        <v>0.74</v>
      </c>
      <c r="Y150" s="108"/>
      <c r="Z150" s="109"/>
      <c r="AA150" s="109"/>
      <c r="AB150" s="109"/>
    </row>
    <row r="151" spans="1:32" ht="15" customHeight="1">
      <c r="A151" s="128" t="s">
        <v>87</v>
      </c>
      <c r="B151" s="62" t="s">
        <v>88</v>
      </c>
      <c r="C151" s="60" t="s">
        <v>5</v>
      </c>
      <c r="D151" s="60" t="s">
        <v>6</v>
      </c>
      <c r="E151" s="56">
        <v>0.55000000000000004</v>
      </c>
      <c r="F151" s="56">
        <v>0.41</v>
      </c>
      <c r="G151" s="56">
        <v>0.18</v>
      </c>
      <c r="H151" s="57">
        <v>0.13</v>
      </c>
      <c r="I151" s="56">
        <f>J151*200/150</f>
        <v>0</v>
      </c>
      <c r="J151" s="57">
        <v>0</v>
      </c>
      <c r="K151" s="56">
        <v>4.78</v>
      </c>
      <c r="L151" s="57">
        <v>3.58</v>
      </c>
      <c r="M151" s="56">
        <v>19.899999999999999</v>
      </c>
      <c r="N151" s="57">
        <v>14.92</v>
      </c>
      <c r="O151" s="56">
        <f>P151*200/150</f>
        <v>1.3333333333333334E-2</v>
      </c>
      <c r="P151" s="64">
        <v>0.01</v>
      </c>
      <c r="Q151" s="56">
        <f>R151*200/150</f>
        <v>1.3333333333333334E-2</v>
      </c>
      <c r="R151" s="64">
        <v>0.01</v>
      </c>
      <c r="S151" s="56">
        <v>0.04</v>
      </c>
      <c r="T151" s="64">
        <v>0.03</v>
      </c>
      <c r="U151" s="56">
        <f>V151*200/150</f>
        <v>5.0533333333333337</v>
      </c>
      <c r="V151" s="64">
        <v>3.79</v>
      </c>
      <c r="W151" s="56">
        <f>X151*200/150</f>
        <v>0.84</v>
      </c>
      <c r="X151" s="116">
        <v>0.63</v>
      </c>
      <c r="Y151" s="48"/>
      <c r="Z151" s="48"/>
      <c r="AA151" s="48"/>
      <c r="AB151" s="48"/>
      <c r="AC151" s="48"/>
      <c r="AD151" s="48"/>
      <c r="AE151" s="48"/>
    </row>
    <row r="152" spans="1:32" s="16" customFormat="1" ht="15" customHeight="1">
      <c r="A152" s="127"/>
      <c r="B152" s="23" t="s">
        <v>11</v>
      </c>
      <c r="C152" s="38" t="s">
        <v>14</v>
      </c>
      <c r="D152" s="38" t="s">
        <v>14</v>
      </c>
      <c r="E152" s="28">
        <v>1.1100000000000001</v>
      </c>
      <c r="F152" s="28">
        <v>1.1100000000000001</v>
      </c>
      <c r="G152" s="28">
        <v>1.6</v>
      </c>
      <c r="H152" s="28">
        <v>1.6</v>
      </c>
      <c r="I152" s="28">
        <v>0.4</v>
      </c>
      <c r="J152" s="28">
        <v>0.4</v>
      </c>
      <c r="K152" s="28">
        <v>10</v>
      </c>
      <c r="L152" s="28">
        <v>10</v>
      </c>
      <c r="M152" s="29">
        <v>54</v>
      </c>
      <c r="N152" s="29">
        <v>54</v>
      </c>
      <c r="O152" s="37">
        <v>0.04</v>
      </c>
      <c r="P152" s="42">
        <v>0.04</v>
      </c>
      <c r="Q152" s="37">
        <v>0.02</v>
      </c>
      <c r="R152" s="42">
        <v>0.02</v>
      </c>
      <c r="S152" s="37">
        <v>0</v>
      </c>
      <c r="T152" s="42">
        <v>0</v>
      </c>
      <c r="U152" s="37">
        <v>7.4</v>
      </c>
      <c r="V152" s="42">
        <v>7.4</v>
      </c>
      <c r="W152" s="37">
        <v>0.56000000000000005</v>
      </c>
      <c r="X152" s="42">
        <v>0.56000000000000005</v>
      </c>
      <c r="Y152" s="51"/>
      <c r="Z152" s="51"/>
      <c r="AA152" s="51"/>
      <c r="AB152" s="51"/>
      <c r="AC152" s="51"/>
      <c r="AD152" s="51"/>
      <c r="AE152" s="51"/>
    </row>
    <row r="153" spans="1:32" ht="15" customHeight="1">
      <c r="A153" s="22"/>
      <c r="B153" s="23" t="s">
        <v>7</v>
      </c>
      <c r="C153" s="38"/>
      <c r="D153" s="38"/>
      <c r="E153" s="17">
        <f>SUM(E149:E152)</f>
        <v>62.85</v>
      </c>
      <c r="F153" s="17">
        <f>SUM(F149:F152)</f>
        <v>47.18</v>
      </c>
      <c r="G153" s="17">
        <f t="shared" ref="G153:T153" si="32">SUM(G149:G152)</f>
        <v>26.93</v>
      </c>
      <c r="H153" s="17">
        <f t="shared" si="32"/>
        <v>19.82</v>
      </c>
      <c r="I153" s="17">
        <f t="shared" si="32"/>
        <v>17.799999999999997</v>
      </c>
      <c r="J153" s="17">
        <f t="shared" si="32"/>
        <v>13.35</v>
      </c>
      <c r="K153" s="17">
        <f t="shared" si="32"/>
        <v>86.55</v>
      </c>
      <c r="L153" s="17">
        <f t="shared" si="32"/>
        <v>76.45</v>
      </c>
      <c r="M153" s="17">
        <f t="shared" si="32"/>
        <v>639.31999999999994</v>
      </c>
      <c r="N153" s="17">
        <f t="shared" si="32"/>
        <v>530.49</v>
      </c>
      <c r="O153" s="17">
        <f t="shared" si="32"/>
        <v>0.17833333333333337</v>
      </c>
      <c r="P153" s="17">
        <f t="shared" si="32"/>
        <v>0.14000000000000001</v>
      </c>
      <c r="Q153" s="17">
        <f t="shared" si="32"/>
        <v>0.52166666666666672</v>
      </c>
      <c r="R153" s="17">
        <f t="shared" si="32"/>
        <v>0.37</v>
      </c>
      <c r="S153" s="17">
        <f t="shared" si="32"/>
        <v>17.04</v>
      </c>
      <c r="T153" s="17">
        <f t="shared" si="32"/>
        <v>17.03</v>
      </c>
      <c r="U153" s="17">
        <f>SUM(U149:U152)</f>
        <v>45.116333333333337</v>
      </c>
      <c r="V153" s="17">
        <f>SUM(V149:V152)</f>
        <v>20.399999999999999</v>
      </c>
      <c r="W153" s="17">
        <f>SUM(W149:W152)</f>
        <v>3.1419999999999999</v>
      </c>
      <c r="X153" s="67">
        <f>SUM(X149:X152)</f>
        <v>1.9300000000000002</v>
      </c>
      <c r="Y153" s="58"/>
      <c r="Z153" s="53"/>
      <c r="AA153" s="53"/>
      <c r="AB153" s="53"/>
      <c r="AC153" s="53"/>
      <c r="AD153" s="48"/>
      <c r="AE153" s="48"/>
    </row>
    <row r="154" spans="1:32" ht="15" customHeight="1">
      <c r="A154" s="22"/>
      <c r="B154" s="23" t="s">
        <v>15</v>
      </c>
      <c r="C154" s="38"/>
      <c r="D154" s="38"/>
      <c r="E154" s="17">
        <f>E153+E147+E143+E134+E131</f>
        <v>150.34</v>
      </c>
      <c r="F154" s="17">
        <f t="shared" ref="F154:T154" si="33">F153+F147+F143+F134+F131</f>
        <v>128.5</v>
      </c>
      <c r="G154" s="17">
        <f t="shared" si="33"/>
        <v>107.02222222222223</v>
      </c>
      <c r="H154" s="17">
        <f t="shared" si="33"/>
        <v>88.831452991452991</v>
      </c>
      <c r="I154" s="17">
        <f t="shared" si="33"/>
        <v>76.132222222222211</v>
      </c>
      <c r="J154" s="17">
        <f t="shared" si="33"/>
        <v>63.114461538461534</v>
      </c>
      <c r="K154" s="17">
        <f t="shared" si="33"/>
        <v>312.64666666666665</v>
      </c>
      <c r="L154" s="17">
        <f t="shared" si="33"/>
        <v>256.04529914529917</v>
      </c>
      <c r="M154" s="17">
        <f t="shared" si="33"/>
        <v>2327.8199999999997</v>
      </c>
      <c r="N154" s="17">
        <f t="shared" si="33"/>
        <v>1980.9341880341881</v>
      </c>
      <c r="O154" s="17">
        <f t="shared" si="33"/>
        <v>1.5103333333333333</v>
      </c>
      <c r="P154" s="17">
        <f t="shared" si="33"/>
        <v>1.196794871794872</v>
      </c>
      <c r="Q154" s="17">
        <f t="shared" si="33"/>
        <v>1.9476666666666669</v>
      </c>
      <c r="R154" s="17">
        <f t="shared" si="33"/>
        <v>1.6173076923076923</v>
      </c>
      <c r="S154" s="17">
        <f t="shared" si="33"/>
        <v>43.222222222222221</v>
      </c>
      <c r="T154" s="17">
        <f t="shared" si="33"/>
        <v>40.590555555555568</v>
      </c>
      <c r="U154" s="17">
        <f>U153+U147+U143+U134+U131</f>
        <v>934.50533333333328</v>
      </c>
      <c r="V154" s="17">
        <f>V153+V147+V143+V134+V131</f>
        <v>787.70177304964534</v>
      </c>
      <c r="W154" s="17">
        <f>W153+W147+W143+W134+W131</f>
        <v>12.178000000000001</v>
      </c>
      <c r="X154" s="17">
        <f>X153+X147+X143+X134+X131</f>
        <v>9.4650354609929082</v>
      </c>
      <c r="Y154" s="67">
        <f>Y153+Y147+Y143+Y134+Y131</f>
        <v>0</v>
      </c>
      <c r="Z154" s="53"/>
      <c r="AA154" s="53"/>
      <c r="AB154" s="53"/>
      <c r="AC154" s="53"/>
      <c r="AD154" s="48"/>
      <c r="AE154" s="48"/>
    </row>
    <row r="155" spans="1:32" ht="15" customHeight="1">
      <c r="A155" s="27"/>
      <c r="B155" s="9"/>
      <c r="C155" s="10"/>
      <c r="D155" s="1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6"/>
      <c r="Y155" s="49"/>
      <c r="Z155" s="48"/>
      <c r="AA155" s="48"/>
      <c r="AB155" s="48"/>
      <c r="AC155" s="48"/>
      <c r="AD155" s="48"/>
      <c r="AE155" s="48"/>
    </row>
    <row r="156" spans="1:32" ht="15" customHeight="1">
      <c r="A156" s="27"/>
      <c r="B156" s="9"/>
      <c r="C156" s="10"/>
      <c r="D156" s="1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6"/>
      <c r="Y156" s="49"/>
      <c r="Z156" s="48"/>
      <c r="AA156" s="48"/>
      <c r="AB156" s="48"/>
      <c r="AC156" s="48"/>
      <c r="AD156" s="48"/>
      <c r="AE156" s="48"/>
    </row>
    <row r="157" spans="1:32" ht="15" customHeight="1">
      <c r="A157" s="27"/>
      <c r="B157" s="9"/>
      <c r="C157" s="10"/>
      <c r="D157" s="1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6"/>
      <c r="Y157" s="49"/>
      <c r="Z157" s="48"/>
      <c r="AA157" s="48"/>
      <c r="AB157" s="48"/>
      <c r="AC157" s="48"/>
      <c r="AD157" s="48"/>
      <c r="AE157" s="48"/>
    </row>
    <row r="158" spans="1:32" ht="15" customHeight="1">
      <c r="A158" s="27"/>
      <c r="B158" s="9"/>
      <c r="C158" s="10"/>
      <c r="D158" s="1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6"/>
      <c r="Y158" s="49"/>
      <c r="Z158" s="48"/>
      <c r="AA158" s="48"/>
      <c r="AB158" s="48"/>
      <c r="AC158" s="48"/>
      <c r="AD158" s="48"/>
      <c r="AE158" s="48"/>
    </row>
    <row r="159" spans="1:32" ht="15" customHeight="1">
      <c r="A159" s="27"/>
      <c r="B159" s="9"/>
      <c r="C159" s="10"/>
      <c r="D159" s="1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6"/>
      <c r="Y159" s="49"/>
      <c r="Z159" s="48"/>
      <c r="AA159" s="48"/>
      <c r="AB159" s="48"/>
      <c r="AC159" s="48"/>
      <c r="AD159" s="48"/>
      <c r="AE159" s="48"/>
    </row>
    <row r="160" spans="1:32" ht="43.5" customHeight="1">
      <c r="A160" s="27"/>
      <c r="B160" s="9"/>
      <c r="C160" s="10"/>
      <c r="D160" s="1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6"/>
      <c r="Y160" s="49"/>
      <c r="Z160" s="48"/>
      <c r="AA160" s="48"/>
      <c r="AB160" s="48"/>
      <c r="AC160" s="48"/>
      <c r="AD160" s="48"/>
      <c r="AE160" s="48"/>
    </row>
    <row r="161" spans="1:31" s="16" customFormat="1" ht="24" customHeight="1">
      <c r="A161" s="24"/>
      <c r="B161" s="167"/>
      <c r="C161" s="168"/>
      <c r="D161" s="169"/>
      <c r="E161" s="176" t="s">
        <v>0</v>
      </c>
      <c r="F161" s="177"/>
      <c r="G161" s="181" t="s">
        <v>36</v>
      </c>
      <c r="H161" s="181"/>
      <c r="I161" s="181"/>
      <c r="J161" s="181"/>
      <c r="K161" s="181"/>
      <c r="L161" s="181"/>
      <c r="M161" s="189" t="s">
        <v>37</v>
      </c>
      <c r="N161" s="189"/>
      <c r="O161" s="163" t="s">
        <v>38</v>
      </c>
      <c r="P161" s="163"/>
      <c r="Q161" s="163"/>
      <c r="R161" s="163"/>
      <c r="S161" s="163"/>
      <c r="T161" s="163"/>
      <c r="U161" s="182" t="s">
        <v>39</v>
      </c>
      <c r="V161" s="182"/>
      <c r="W161" s="182"/>
      <c r="X161" s="183"/>
      <c r="Y161" s="50"/>
      <c r="Z161" s="51"/>
      <c r="AA161" s="51"/>
      <c r="AB161" s="51"/>
      <c r="AC161" s="51"/>
      <c r="AD161" s="51"/>
      <c r="AE161" s="51"/>
    </row>
    <row r="162" spans="1:31" s="16" customFormat="1" ht="15" customHeight="1">
      <c r="A162" s="24"/>
      <c r="B162" s="170"/>
      <c r="C162" s="171"/>
      <c r="D162" s="172"/>
      <c r="E162" s="178"/>
      <c r="F162" s="179"/>
      <c r="G162" s="180" t="s">
        <v>1</v>
      </c>
      <c r="H162" s="180"/>
      <c r="I162" s="180" t="s">
        <v>2</v>
      </c>
      <c r="J162" s="180"/>
      <c r="K162" s="180" t="s">
        <v>3</v>
      </c>
      <c r="L162" s="180"/>
      <c r="M162" s="189"/>
      <c r="N162" s="189"/>
      <c r="O162" s="162" t="s">
        <v>68</v>
      </c>
      <c r="P162" s="162"/>
      <c r="Q162" s="162" t="s">
        <v>47</v>
      </c>
      <c r="R162" s="162"/>
      <c r="S162" s="162" t="s">
        <v>40</v>
      </c>
      <c r="T162" s="162"/>
      <c r="U162" s="162" t="s">
        <v>41</v>
      </c>
      <c r="V162" s="162"/>
      <c r="W162" s="162" t="s">
        <v>42</v>
      </c>
      <c r="X162" s="184"/>
      <c r="Y162" s="50"/>
      <c r="Z162" s="51"/>
      <c r="AA162" s="51"/>
      <c r="AB162" s="51"/>
      <c r="AC162" s="51"/>
      <c r="AD162" s="51"/>
      <c r="AE162" s="51"/>
    </row>
    <row r="163" spans="1:31" s="16" customFormat="1" ht="15" customHeight="1">
      <c r="A163" s="24"/>
      <c r="B163" s="173"/>
      <c r="C163" s="174"/>
      <c r="D163" s="175"/>
      <c r="E163" s="89" t="s">
        <v>21</v>
      </c>
      <c r="F163" s="89" t="s">
        <v>22</v>
      </c>
      <c r="G163" s="89" t="s">
        <v>21</v>
      </c>
      <c r="H163" s="89" t="s">
        <v>22</v>
      </c>
      <c r="I163" s="89" t="s">
        <v>21</v>
      </c>
      <c r="J163" s="89" t="s">
        <v>22</v>
      </c>
      <c r="K163" s="89" t="s">
        <v>21</v>
      </c>
      <c r="L163" s="89" t="s">
        <v>22</v>
      </c>
      <c r="M163" s="89" t="s">
        <v>21</v>
      </c>
      <c r="N163" s="89" t="s">
        <v>22</v>
      </c>
      <c r="O163" s="89" t="s">
        <v>21</v>
      </c>
      <c r="P163" s="89" t="s">
        <v>22</v>
      </c>
      <c r="Q163" s="89" t="s">
        <v>21</v>
      </c>
      <c r="R163" s="89" t="s">
        <v>22</v>
      </c>
      <c r="S163" s="89" t="s">
        <v>21</v>
      </c>
      <c r="T163" s="89" t="s">
        <v>22</v>
      </c>
      <c r="U163" s="89" t="s">
        <v>21</v>
      </c>
      <c r="V163" s="89" t="s">
        <v>22</v>
      </c>
      <c r="W163" s="89" t="s">
        <v>21</v>
      </c>
      <c r="X163" s="80" t="s">
        <v>22</v>
      </c>
      <c r="Y163" s="50"/>
      <c r="Z163" s="51"/>
      <c r="AA163" s="51"/>
      <c r="AB163" s="51"/>
      <c r="AC163" s="51"/>
      <c r="AD163" s="51"/>
      <c r="AE163" s="51"/>
    </row>
    <row r="164" spans="1:31" s="84" customFormat="1" ht="15" customHeight="1">
      <c r="A164" s="24"/>
      <c r="B164" s="191" t="s">
        <v>44</v>
      </c>
      <c r="C164" s="192"/>
      <c r="D164" s="193"/>
      <c r="E164" s="29">
        <f>E154+E124+E96+E68+E39</f>
        <v>608.25</v>
      </c>
      <c r="F164" s="29">
        <f>F154+F124+F96+F68+F39</f>
        <v>537.31999999999994</v>
      </c>
      <c r="G164" s="29">
        <f>G154-35+G124+G96+G68+G39</f>
        <v>288.52622222222226</v>
      </c>
      <c r="H164" s="29">
        <f>H154+H124-32+H96+H68-25+H39</f>
        <v>224.56945299145301</v>
      </c>
      <c r="I164" s="29">
        <f>I154+I124+I96+I68+I39</f>
        <v>288.78699999999998</v>
      </c>
      <c r="J164" s="29">
        <f>J154+J124+J96+J68+J39</f>
        <v>240.20846153846151</v>
      </c>
      <c r="K164" s="90">
        <f>K154+K124+K96+K68+K39</f>
        <v>1267.6053333333332</v>
      </c>
      <c r="L164" s="90">
        <f>L154+L124+L96+L68+L39</f>
        <v>1031.0752991452991</v>
      </c>
      <c r="M164" s="90">
        <f>M154+M124+M96+M68+M39</f>
        <v>8681.0261538461527</v>
      </c>
      <c r="N164" s="90">
        <f>N154+N124+N96+N68+N39-100</f>
        <v>7341.5841880341886</v>
      </c>
      <c r="O164" s="29">
        <f>O154+O124+O96+O68+O39</f>
        <v>5.3529999999999998</v>
      </c>
      <c r="P164" s="29">
        <f>P154+P124+P96+P68+P39</f>
        <v>4.2998185872098915</v>
      </c>
      <c r="Q164" s="29">
        <f>Q154+Q124+Q96+Q68+Q39</f>
        <v>6.7973333333333334</v>
      </c>
      <c r="R164" s="29">
        <f>R154+R124+R96+R68+R39</f>
        <v>5.7490007094354922</v>
      </c>
      <c r="S164" s="29">
        <f>S154-37+S124+S96+S68+S39</f>
        <v>224.1842905982906</v>
      </c>
      <c r="T164" s="29">
        <f>T154-25+T124+T96+T68+T39</f>
        <v>210.84555555555562</v>
      </c>
      <c r="U164" s="90" t="e">
        <f>U154+U124+U96+U68+U39</f>
        <v>#REF!</v>
      </c>
      <c r="V164" s="90" t="e">
        <f>V154+V124+V96+V68+V39</f>
        <v>#REF!</v>
      </c>
      <c r="W164" s="29" t="e">
        <f>W154+W124+W96+W68+W39</f>
        <v>#REF!</v>
      </c>
      <c r="X164" s="69" t="e">
        <f>X154+X124+X96+X68+X39</f>
        <v>#REF!</v>
      </c>
      <c r="Y164" s="91"/>
      <c r="Z164" s="92"/>
      <c r="AA164" s="92"/>
      <c r="AB164" s="92"/>
      <c r="AC164" s="92"/>
      <c r="AD164" s="105"/>
      <c r="AE164" s="105"/>
    </row>
    <row r="165" spans="1:31" s="84" customFormat="1" ht="15" customHeight="1">
      <c r="A165" s="24"/>
      <c r="B165" s="164" t="s">
        <v>45</v>
      </c>
      <c r="C165" s="165"/>
      <c r="D165" s="166"/>
      <c r="E165" s="29">
        <f>E164/5</f>
        <v>121.65</v>
      </c>
      <c r="F165" s="29">
        <v>107.47</v>
      </c>
      <c r="G165" s="29">
        <f t="shared" ref="G165:O165" si="34">G164/5</f>
        <v>57.705244444444453</v>
      </c>
      <c r="H165" s="29">
        <f t="shared" si="34"/>
        <v>44.9138905982906</v>
      </c>
      <c r="I165" s="29">
        <f t="shared" si="34"/>
        <v>57.757399999999997</v>
      </c>
      <c r="J165" s="29">
        <f t="shared" si="34"/>
        <v>48.041692307692301</v>
      </c>
      <c r="K165" s="29">
        <f t="shared" si="34"/>
        <v>253.52106666666663</v>
      </c>
      <c r="L165" s="29">
        <f t="shared" si="34"/>
        <v>206.21505982905984</v>
      </c>
      <c r="M165" s="29">
        <f>M164/5</f>
        <v>1736.2052307692306</v>
      </c>
      <c r="N165" s="29">
        <f>N164/5</f>
        <v>1468.3168376068377</v>
      </c>
      <c r="O165" s="82">
        <f t="shared" si="34"/>
        <v>1.0706</v>
      </c>
      <c r="P165" s="82">
        <f t="shared" ref="P165:X165" si="35">P164/5</f>
        <v>0.8599637174419783</v>
      </c>
      <c r="Q165" s="82">
        <f t="shared" si="35"/>
        <v>1.3594666666666666</v>
      </c>
      <c r="R165" s="82">
        <f t="shared" si="35"/>
        <v>1.1498001418870984</v>
      </c>
      <c r="S165" s="29">
        <f t="shared" si="35"/>
        <v>44.836858119658118</v>
      </c>
      <c r="T165" s="29">
        <f t="shared" si="35"/>
        <v>42.169111111111121</v>
      </c>
      <c r="U165" s="29" t="e">
        <f>U164/5</f>
        <v>#REF!</v>
      </c>
      <c r="V165" s="29" t="e">
        <f>V164/5</f>
        <v>#REF!</v>
      </c>
      <c r="W165" s="29" t="e">
        <f t="shared" si="35"/>
        <v>#REF!</v>
      </c>
      <c r="X165" s="69" t="e">
        <f t="shared" si="35"/>
        <v>#REF!</v>
      </c>
      <c r="Y165" s="91"/>
      <c r="Z165" s="92"/>
      <c r="AA165" s="92"/>
      <c r="AB165" s="92"/>
      <c r="AC165" s="92"/>
      <c r="AD165" s="105"/>
      <c r="AE165" s="105"/>
    </row>
    <row r="166" spans="1:31" s="16" customFormat="1" ht="15" customHeight="1">
      <c r="A166" s="24"/>
      <c r="B166" s="31"/>
      <c r="C166" s="31"/>
      <c r="D166" s="31"/>
      <c r="E166" s="31"/>
      <c r="F166" s="31"/>
      <c r="G166" s="31"/>
      <c r="H166" s="31"/>
      <c r="I166" s="31"/>
      <c r="J166" s="31"/>
      <c r="K166" s="18"/>
      <c r="L166" s="18"/>
      <c r="M166" s="32"/>
      <c r="N166" s="33"/>
    </row>
    <row r="167" spans="1:31" s="84" customFormat="1" ht="15" customHeight="1">
      <c r="A167" s="24"/>
      <c r="B167" s="31"/>
      <c r="C167" s="31"/>
      <c r="D167" s="31"/>
      <c r="E167" s="31"/>
      <c r="F167" s="31"/>
      <c r="G167" s="31"/>
      <c r="H167" s="31"/>
      <c r="I167" s="31"/>
      <c r="J167" s="93"/>
      <c r="K167" s="18"/>
      <c r="L167" s="18"/>
      <c r="M167" s="94"/>
      <c r="N167" s="93"/>
    </row>
    <row r="168" spans="1:31" s="84" customFormat="1" ht="15" customHeight="1">
      <c r="A168" s="24"/>
      <c r="B168" s="31"/>
      <c r="C168" s="31"/>
      <c r="D168" s="31"/>
      <c r="E168" s="31"/>
      <c r="F168" s="31"/>
      <c r="G168" s="31"/>
      <c r="H168" s="31"/>
      <c r="I168" s="31"/>
      <c r="J168" s="93"/>
      <c r="K168" s="18"/>
      <c r="L168" s="18"/>
      <c r="M168" s="93"/>
      <c r="N168" s="93"/>
    </row>
    <row r="169" spans="1:31" s="16" customFormat="1" ht="15" customHeight="1">
      <c r="A169" s="24"/>
      <c r="B169" s="34" t="s">
        <v>58</v>
      </c>
      <c r="C169" s="34"/>
      <c r="D169" s="34"/>
      <c r="E169" s="96"/>
      <c r="F169" s="96"/>
      <c r="G169" s="34"/>
      <c r="H169" s="34"/>
      <c r="I169" s="34"/>
      <c r="J169" s="34"/>
      <c r="K169" s="34"/>
      <c r="L169" s="34"/>
    </row>
    <row r="170" spans="1:31" s="16" customFormat="1" ht="15" customHeight="1">
      <c r="A170" s="24"/>
      <c r="B170" s="34" t="s">
        <v>46</v>
      </c>
      <c r="C170" s="34"/>
      <c r="D170" s="34"/>
      <c r="E170" s="96"/>
      <c r="F170" s="96"/>
      <c r="G170" s="34"/>
      <c r="H170" s="34"/>
      <c r="I170" s="34"/>
      <c r="J170" s="34"/>
      <c r="K170" s="34"/>
      <c r="L170" s="34"/>
    </row>
    <row r="171" spans="1:31" s="16" customFormat="1" ht="15" customHeight="1">
      <c r="A171" s="24"/>
      <c r="B171" s="34"/>
      <c r="C171" s="34"/>
      <c r="D171" s="34"/>
      <c r="E171" s="96"/>
      <c r="F171" s="96"/>
      <c r="G171" s="34"/>
      <c r="H171" s="34"/>
      <c r="I171" s="34"/>
      <c r="J171" s="34"/>
      <c r="K171" s="34"/>
      <c r="L171" s="34"/>
    </row>
    <row r="172" spans="1:31" ht="12" customHeight="1">
      <c r="B172" s="155"/>
      <c r="C172" s="155"/>
      <c r="D172" s="155"/>
      <c r="E172" s="156"/>
      <c r="F172" s="156"/>
      <c r="G172" s="1"/>
      <c r="H172" s="1"/>
      <c r="I172" s="1"/>
      <c r="J172" s="1"/>
      <c r="K172" s="1"/>
      <c r="L172" s="1"/>
      <c r="M172" s="157"/>
      <c r="N172" s="157"/>
    </row>
    <row r="173" spans="1:31" ht="15">
      <c r="B173" s="12" t="s">
        <v>57</v>
      </c>
      <c r="C173" s="97"/>
      <c r="D173" s="99"/>
      <c r="E173" s="99"/>
      <c r="F173" s="99"/>
      <c r="G173" s="14"/>
      <c r="H173" s="13"/>
      <c r="I173" s="13"/>
      <c r="J173" s="13" t="s">
        <v>50</v>
      </c>
      <c r="K173" s="13"/>
      <c r="L173" s="13"/>
      <c r="M173" s="33"/>
      <c r="N173" s="157"/>
    </row>
    <row r="174" spans="1:31" ht="15">
      <c r="B174" s="12"/>
      <c r="C174" s="97"/>
      <c r="D174" s="99"/>
      <c r="E174" s="99"/>
      <c r="F174" s="99"/>
      <c r="G174" s="14"/>
      <c r="H174" s="13"/>
      <c r="I174" s="13"/>
      <c r="J174" s="13"/>
      <c r="K174" s="13"/>
      <c r="L174" s="13"/>
      <c r="M174" s="33"/>
      <c r="N174" s="157"/>
    </row>
    <row r="175" spans="1:31" ht="15">
      <c r="B175" s="15" t="s">
        <v>167</v>
      </c>
      <c r="C175" s="15"/>
      <c r="D175" s="15"/>
      <c r="E175" s="15"/>
      <c r="F175" s="15"/>
      <c r="G175" s="15"/>
      <c r="H175" s="15"/>
      <c r="I175" s="15"/>
      <c r="J175" s="13" t="s">
        <v>168</v>
      </c>
      <c r="K175" s="13"/>
      <c r="L175" s="13"/>
      <c r="M175" s="33"/>
      <c r="N175" s="157"/>
    </row>
    <row r="176" spans="1:31" ht="15">
      <c r="B176" s="15"/>
      <c r="C176" s="98"/>
      <c r="D176" s="98"/>
      <c r="E176" s="98"/>
      <c r="F176" s="98"/>
      <c r="G176" s="15"/>
      <c r="H176" s="15"/>
      <c r="I176" s="15"/>
      <c r="J176" s="13"/>
      <c r="K176" s="13"/>
      <c r="L176" s="13"/>
      <c r="M176" s="33"/>
      <c r="N176" s="157"/>
    </row>
    <row r="177" spans="2:14" ht="15">
      <c r="B177" s="106" t="s">
        <v>85</v>
      </c>
      <c r="C177" s="12"/>
      <c r="D177" s="12"/>
      <c r="E177" s="13"/>
      <c r="F177" s="13"/>
      <c r="G177" s="12"/>
      <c r="H177" s="12"/>
      <c r="I177" s="12"/>
      <c r="J177" s="106" t="s">
        <v>171</v>
      </c>
      <c r="K177" s="12"/>
      <c r="L177" s="13"/>
      <c r="M177" s="95"/>
      <c r="N177" s="157"/>
    </row>
    <row r="178" spans="2:14" ht="12.75" customHeight="1">
      <c r="B178" s="12"/>
      <c r="C178" s="97"/>
      <c r="D178" s="97"/>
      <c r="E178" s="97"/>
      <c r="F178" s="97"/>
      <c r="G178" s="13"/>
      <c r="H178" s="13"/>
      <c r="I178" s="13"/>
      <c r="J178" s="13"/>
      <c r="K178" s="13"/>
      <c r="L178" s="13"/>
      <c r="M178" s="95"/>
      <c r="N178" s="157"/>
    </row>
    <row r="179" spans="2:14" ht="15">
      <c r="B179" s="15" t="s">
        <v>82</v>
      </c>
      <c r="C179" s="98"/>
      <c r="D179" s="98"/>
      <c r="E179" s="98"/>
      <c r="F179" s="98"/>
      <c r="G179" s="15"/>
      <c r="H179" s="15"/>
      <c r="I179" s="15"/>
      <c r="J179" s="13" t="s">
        <v>175</v>
      </c>
      <c r="K179" s="13"/>
      <c r="L179" s="13"/>
      <c r="M179" s="95"/>
      <c r="N179" s="157"/>
    </row>
    <row r="180" spans="2:14">
      <c r="B180" s="155"/>
      <c r="C180" s="155"/>
      <c r="D180" s="155"/>
      <c r="E180" s="156"/>
      <c r="F180" s="156"/>
      <c r="G180" s="1"/>
      <c r="H180" s="1"/>
      <c r="I180" s="1"/>
      <c r="J180" s="1"/>
      <c r="K180" s="1"/>
      <c r="L180" s="1"/>
      <c r="M180" s="157"/>
      <c r="N180" s="157"/>
    </row>
    <row r="181" spans="2:14">
      <c r="B181" s="155"/>
      <c r="C181" s="155"/>
      <c r="D181" s="155"/>
      <c r="E181" s="156"/>
      <c r="F181" s="156"/>
      <c r="G181" s="1"/>
      <c r="H181" s="1"/>
      <c r="I181" s="1"/>
      <c r="J181" s="1"/>
      <c r="K181" s="1"/>
      <c r="L181" s="1"/>
      <c r="M181" s="157"/>
      <c r="N181" s="157"/>
    </row>
    <row r="182" spans="2:14">
      <c r="B182" s="155"/>
      <c r="C182" s="155"/>
      <c r="D182" s="155"/>
      <c r="E182" s="156"/>
      <c r="F182" s="156"/>
      <c r="G182" s="1"/>
      <c r="H182" s="1"/>
      <c r="I182" s="1"/>
      <c r="J182" s="1"/>
      <c r="K182" s="1"/>
      <c r="L182" s="1"/>
      <c r="M182" s="157"/>
      <c r="N182" s="157"/>
    </row>
  </sheetData>
  <mergeCells count="34">
    <mergeCell ref="K162:L162"/>
    <mergeCell ref="M161:N162"/>
    <mergeCell ref="S162:T162"/>
    <mergeCell ref="Q162:R162"/>
    <mergeCell ref="I11:J11"/>
    <mergeCell ref="K11:L11"/>
    <mergeCell ref="G10:L10"/>
    <mergeCell ref="M10:N11"/>
    <mergeCell ref="S11:T11"/>
    <mergeCell ref="G11:H11"/>
    <mergeCell ref="U10:X10"/>
    <mergeCell ref="M4:N4"/>
    <mergeCell ref="O10:T10"/>
    <mergeCell ref="Q11:R11"/>
    <mergeCell ref="U161:X161"/>
    <mergeCell ref="U162:V162"/>
    <mergeCell ref="W162:X162"/>
    <mergeCell ref="W11:X11"/>
    <mergeCell ref="U11:V11"/>
    <mergeCell ref="A8:X8"/>
    <mergeCell ref="A10:A11"/>
    <mergeCell ref="B10:B11"/>
    <mergeCell ref="C10:D11"/>
    <mergeCell ref="E10:F11"/>
    <mergeCell ref="O162:P162"/>
    <mergeCell ref="O161:T161"/>
    <mergeCell ref="O11:P11"/>
    <mergeCell ref="B165:D165"/>
    <mergeCell ref="B161:D163"/>
    <mergeCell ref="E161:F162"/>
    <mergeCell ref="I162:J162"/>
    <mergeCell ref="G161:L161"/>
    <mergeCell ref="G162:H162"/>
    <mergeCell ref="B164:D164"/>
  </mergeCells>
  <phoneticPr fontId="0" type="noConversion"/>
  <pageMargins left="0" right="0" top="0" bottom="0" header="0.51181102362204722" footer="0.51181102362204722"/>
  <pageSetup paperSize="9" scale="9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2018-07-24T10:16:42Z</cp:lastPrinted>
  <dcterms:created xsi:type="dcterms:W3CDTF">2010-07-29T06:39:54Z</dcterms:created>
  <dcterms:modified xsi:type="dcterms:W3CDTF">2018-07-27T07:27:36Z</dcterms:modified>
</cp:coreProperties>
</file>